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51\REKNE\STIFTELS\2018\"/>
    </mc:Choice>
  </mc:AlternateContent>
  <bookViews>
    <workbookView xWindow="0" yWindow="0" windowWidth="21570" windowHeight="9405"/>
  </bookViews>
  <sheets>
    <sheet name="Total _Prosent_" sheetId="1" r:id="rId1"/>
    <sheet name="Total _Kroner_" sheetId="2" r:id="rId2"/>
    <sheet name="DS1" sheetId="3" state="hidden" r:id="rId3"/>
    <sheet name="DS2" sheetId="4" state="hidden" r:id="rId4"/>
  </sheets>
  <definedNames>
    <definedName name="__bookmark_1">'Total _Prosent_'!$A$1:$O$57</definedName>
    <definedName name="__bookmark_2">'Total _Prosent_'!$A$61</definedName>
    <definedName name="__bookmark_4">'Total _Prosent_'!$B$61</definedName>
    <definedName name="__bookmark_5">'Total _Prosent_'!$E$61</definedName>
    <definedName name="__bookmark_6">'Total _Kroner_'!$A$1:$G$57</definedName>
  </definedNames>
  <calcPr calcId="162913"/>
</workbook>
</file>

<file path=xl/calcChain.xml><?xml version="1.0" encoding="utf-8"?>
<calcChain xmlns="http://schemas.openxmlformats.org/spreadsheetml/2006/main">
  <c r="F4" i="3" l="1"/>
  <c r="F3" i="3"/>
  <c r="F2" i="3"/>
  <c r="O56" i="1"/>
  <c r="N56" i="1"/>
  <c r="K56" i="1"/>
  <c r="H56" i="1"/>
  <c r="E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E54" i="1"/>
  <c r="B54" i="1"/>
  <c r="O53" i="1"/>
  <c r="N53" i="1"/>
  <c r="M53" i="1"/>
  <c r="L53" i="1"/>
  <c r="K53" i="1"/>
  <c r="J53" i="1"/>
  <c r="I53" i="1"/>
  <c r="H53" i="1"/>
  <c r="E53" i="1"/>
  <c r="B53" i="1"/>
  <c r="O52" i="1"/>
  <c r="N52" i="1"/>
  <c r="O51" i="1"/>
  <c r="N51" i="1"/>
  <c r="K51" i="1"/>
  <c r="H51" i="1"/>
  <c r="E51" i="1"/>
  <c r="B51" i="1"/>
  <c r="O50" i="1"/>
  <c r="N50" i="1"/>
  <c r="K50" i="1"/>
  <c r="H50" i="1"/>
  <c r="E50" i="1"/>
  <c r="B50" i="1"/>
  <c r="O49" i="1"/>
  <c r="N49" i="1"/>
  <c r="K49" i="1"/>
  <c r="H49" i="1"/>
  <c r="E49" i="1"/>
  <c r="B49" i="1"/>
  <c r="O48" i="1"/>
  <c r="N48" i="1"/>
  <c r="K48" i="1"/>
  <c r="H48" i="1"/>
  <c r="E48" i="1"/>
  <c r="B48" i="1"/>
  <c r="O47" i="1"/>
  <c r="N47" i="1"/>
  <c r="K47" i="1"/>
  <c r="H47" i="1"/>
  <c r="E47" i="1"/>
  <c r="B47" i="1"/>
  <c r="O46" i="1"/>
  <c r="N46" i="1"/>
  <c r="K46" i="1"/>
  <c r="H46" i="1"/>
  <c r="E46" i="1"/>
  <c r="B46" i="1"/>
  <c r="O45" i="1"/>
  <c r="N45" i="1"/>
  <c r="K45" i="1"/>
  <c r="H45" i="1"/>
  <c r="E45" i="1"/>
  <c r="B45" i="1"/>
  <c r="O44" i="1"/>
  <c r="N44" i="1"/>
  <c r="K44" i="1"/>
  <c r="H44" i="1"/>
  <c r="E44" i="1"/>
  <c r="B44" i="1"/>
  <c r="O43" i="1"/>
  <c r="N43" i="1"/>
  <c r="K43" i="1"/>
  <c r="H43" i="1"/>
  <c r="E43" i="1"/>
  <c r="B43" i="1"/>
  <c r="O42" i="1"/>
  <c r="N42" i="1"/>
  <c r="K42" i="1"/>
  <c r="H42" i="1"/>
  <c r="E42" i="1"/>
  <c r="B42" i="1"/>
  <c r="O41" i="1"/>
  <c r="N41" i="1"/>
  <c r="K41" i="1"/>
  <c r="H41" i="1"/>
  <c r="E41" i="1"/>
  <c r="B41" i="1"/>
  <c r="O40" i="1"/>
  <c r="N40" i="1"/>
  <c r="K40" i="1"/>
  <c r="H40" i="1"/>
  <c r="E40" i="1"/>
  <c r="B40" i="1"/>
  <c r="O39" i="1"/>
  <c r="N39" i="1"/>
  <c r="K39" i="1"/>
  <c r="H39" i="1"/>
  <c r="E39" i="1"/>
  <c r="B39" i="1"/>
  <c r="O38" i="1"/>
  <c r="N38" i="1"/>
  <c r="K38" i="1"/>
  <c r="H38" i="1"/>
  <c r="E38" i="1"/>
  <c r="B38" i="1"/>
  <c r="O37" i="1"/>
  <c r="N37" i="1"/>
  <c r="K37" i="1"/>
  <c r="H37" i="1"/>
  <c r="E37" i="1"/>
  <c r="B37" i="1"/>
  <c r="O36" i="1"/>
  <c r="N36" i="1"/>
  <c r="K36" i="1"/>
  <c r="H36" i="1"/>
  <c r="E36" i="1"/>
  <c r="B36" i="1"/>
  <c r="O35" i="1"/>
  <c r="N35" i="1"/>
  <c r="K35" i="1"/>
  <c r="H35" i="1"/>
  <c r="E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E33" i="1"/>
  <c r="B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<sst xmlns="http://schemas.openxmlformats.org/spreadsheetml/2006/main" count="245" uniqueCount="123">
  <si>
    <t>Daglig avkastningsrapport</t>
  </si>
  <si>
    <t>Kvinnherad, 745</t>
  </si>
  <si>
    <t>NOK</t>
  </si>
  <si>
    <t>Siste dag</t>
  </si>
  <si>
    <t>Siste måned</t>
  </si>
  <si>
    <t>Hittil i kvartal</t>
  </si>
  <si>
    <t> Hittil i år</t>
  </si>
  <si>
    <t>Markedsverdi</t>
  </si>
  <si>
    <t>Portefølje</t>
  </si>
  <si>
    <t>Benchmark</t>
  </si>
  <si>
    <t>Meravk.</t>
  </si>
  <si>
    <t>Andel av total</t>
  </si>
  <si>
    <t>Totalt</t>
  </si>
  <si>
    <t>-   Referansestyrte porteføljer</t>
  </si>
  <si>
    <t>-      Aksjer</t>
  </si>
  <si>
    <t>-         Aksjer Norge</t>
  </si>
  <si>
    <t>-            Landkreditt Utbytte</t>
  </si>
  <si>
    <t>-         Aksjer Utland</t>
  </si>
  <si>
    <t>-            Delphi Global</t>
  </si>
  <si>
    <t>-            Holberg Triton Fund</t>
  </si>
  <si>
    <t>-            Delphi Europe</t>
  </si>
  <si>
    <t>-            Holberg Rurik</t>
  </si>
  <si>
    <t>-            Holberg Global</t>
  </si>
  <si>
    <t>-            Delphi Nordic</t>
  </si>
  <si>
    <t>-            Fondsfinans Global Helse</t>
  </si>
  <si>
    <t>-            Storebrand Global Multifactor</t>
  </si>
  <si>
    <t>-            Fondsfinans Norden</t>
  </si>
  <si>
    <t>-            Holberg Norden VPFO</t>
  </si>
  <si>
    <t>-            ODIN Emerging Markets VPFO</t>
  </si>
  <si>
    <t>-            Valutasikring</t>
  </si>
  <si>
    <t>-      Obligasjoner</t>
  </si>
  <si>
    <t>-         ODIN Kreditt</t>
  </si>
  <si>
    <t>-         DNB Obligasjon III</t>
  </si>
  <si>
    <t>-      Pengemarked og Bank</t>
  </si>
  <si>
    <t>-         Holberg Kreditt</t>
  </si>
  <si>
    <t>-         Storebrand Rente+</t>
  </si>
  <si>
    <t>-         Storebrand Likviditet</t>
  </si>
  <si>
    <t>-         Bank</t>
  </si>
  <si>
    <t>-   Obligasjoner Anlegg</t>
  </si>
  <si>
    <t>-   Private Equity</t>
  </si>
  <si>
    <t>-      Storebrand Int. Private Equity IV - B1</t>
  </si>
  <si>
    <t>-      Storebrand Int. Private Equity V - B1</t>
  </si>
  <si>
    <t>-      Storebrand Int. Private Equity VI-B1</t>
  </si>
  <si>
    <t>-      Storebrand Int. Private Equity VII-B1</t>
  </si>
  <si>
    <t>-      Storebrand Int. Private Equity VIII-B1</t>
  </si>
  <si>
    <t>-      Storebrand Int. Private Equity IX-B1</t>
  </si>
  <si>
    <t>-      Storebrand Int. Private Equity 13 - B-2</t>
  </si>
  <si>
    <t>-      Storebrand Emerging Private Equity Markets B1</t>
  </si>
  <si>
    <t>-      Storebrand Emerging Private Equity Markets B2</t>
  </si>
  <si>
    <t>-      Storebrand Int. Private Equity X-1</t>
  </si>
  <si>
    <t>-      Pareto PE III AS</t>
  </si>
  <si>
    <t>-      Storebrand Int. Private Equity 14 - B-1</t>
  </si>
  <si>
    <t>-      Storebrand Int. Private Eq. 15 Ltd - class B-0</t>
  </si>
  <si>
    <t>-      Storebrand Int. Private Eq. 16 Ltd - Class B-2</t>
  </si>
  <si>
    <t>-      Storebrand Int. Private Eq. 17 Ltd - Class B-2</t>
  </si>
  <si>
    <t>-      Storebrand International Private Eq 18 Class B-2</t>
  </si>
  <si>
    <t>-      Obligo Global Infrastruktur II AS</t>
  </si>
  <si>
    <t>-      Bank</t>
  </si>
  <si>
    <t>-   Eiendom</t>
  </si>
  <si>
    <t>-      Storebrand Eiendomsfond Norge KS</t>
  </si>
  <si>
    <t>-   Hedge Fund</t>
  </si>
  <si>
    <t>-      Pareto Total B</t>
  </si>
  <si>
    <t>Aktivafordeling</t>
  </si>
  <si>
    <t>Avkastning siste måned</t>
  </si>
  <si>
    <t> Avkastning i år</t>
  </si>
  <si>
    <t>Avkastning i kroner</t>
  </si>
  <si>
    <t>Innskudd(+)/uttak(-) kapital</t>
  </si>
  <si>
    <t>name</t>
  </si>
  <si>
    <t>value</t>
  </si>
  <si>
    <t>type</t>
  </si>
  <si>
    <t>sort</t>
  </si>
  <si>
    <t>LocalizedName</t>
  </si>
  <si>
    <t>row[value]_Sum/row[LocalizedName]</t>
  </si>
  <si>
    <t>row[sort]</t>
  </si>
  <si>
    <t>TWR_MTD_PF</t>
  </si>
  <si>
    <t>MTD</t>
  </si>
  <si>
    <t>Portefølje</t>
  </si>
  <si>
    <t>TWR_MTD_BM</t>
  </si>
  <si>
    <t>Benchmark</t>
  </si>
  <si>
    <t>TWR_MTD_DIFF</t>
  </si>
  <si>
    <t>Meravkastning</t>
  </si>
  <si>
    <t>Data of mtdBar(id:3919)</t>
  </si>
  <si>
    <t>TWR_YTD_PF</t>
  </si>
  <si>
    <t>TWR_YTD_BM</t>
  </si>
  <si>
    <t>MARKET_VALUE_PF</t>
  </si>
  <si>
    <t>SPLIT_LEVEL</t>
  </si>
  <si>
    <t>PERFORMANCE_REPORT_NAME</t>
  </si>
  <si>
    <t>PERFORMANCE_REPORT_1</t>
  </si>
  <si>
    <t>PERFORMANCE_REPORT_TYPE</t>
  </si>
  <si>
    <t>NODE_NAME</t>
  </si>
  <si>
    <t>NODE_NO</t>
  </si>
  <si>
    <t>DATE_TIME</t>
  </si>
  <si>
    <t>DATE_NO</t>
  </si>
  <si>
    <t>CURRENCY_CODE</t>
  </si>
  <si>
    <t>NODE_NO_PARENT</t>
  </si>
  <si>
    <t>NODE_NAME_PARENT</t>
  </si>
  <si>
    <t>CURRENCY_NAME</t>
  </si>
  <si>
    <t>PORTFOLIO_NAME</t>
  </si>
  <si>
    <t>PORTFOLIO_SHORT_NAME</t>
  </si>
  <si>
    <t>PORTFOLIO_GROUP_SHORT_NAME</t>
  </si>
  <si>
    <t>PORTFOLIO_GROUP_NAME</t>
  </si>
  <si>
    <t>TWR_LAST_DAY_PF</t>
  </si>
  <si>
    <t>TWR_LAST_DAY_BM</t>
  </si>
  <si>
    <t>TWR_QTD_BM</t>
  </si>
  <si>
    <t>TWR_QTD_PF</t>
  </si>
  <si>
    <t>MARKET_VALUE_BM</t>
  </si>
  <si>
    <t>CASH_FLOW_LAST_MONTH_PF</t>
  </si>
  <si>
    <t>SUM_MARKET_VALUEPORGRP</t>
  </si>
  <si>
    <t>SORT</t>
  </si>
  <si>
    <t>(BirtMath.round(row[MARKET_VALUE_PF]/row[SUM_MARKET_VALUEPORGRP],3))*100_Sum/row[NODE_NAME]</t>
  </si>
  <si>
    <t>row[SORT]</t>
  </si>
  <si>
    <t>Kvinnherad</t>
  </si>
  <si>
    <t>745</t>
  </si>
  <si>
    <t>EXTRA STD</t>
  </si>
  <si>
    <t>Referansestyrte porteføljer</t>
  </si>
  <si>
    <t>Norwegian Kroner</t>
  </si>
  <si>
    <t/>
  </si>
  <si>
    <t>Obligasjoner Anlegg</t>
  </si>
  <si>
    <t>Private Equity</t>
  </si>
  <si>
    <t>Eiendom</t>
  </si>
  <si>
    <t>Hedge Fund</t>
  </si>
  <si>
    <t>Data of chartPiePerformance(id:672)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</si>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</sst>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4]d\.\ mmmm\ yyyy"/>
    <numFmt numFmtId="165" formatCode="###0.00%;\-###0.00%;###0.00%"/>
    <numFmt numFmtId="166" formatCode="#,##0.00%;\-#,##0.00%;#,##0.00%"/>
    <numFmt numFmtId="167" formatCode="###0.0%;\(###0.0\)%"/>
  </numFmts>
  <fonts count="12">
    <font>
      <sz val="11"/>
      <color theme="1"/>
      <name val="Calibri"/>
    </font>
    <font>
      <b/>
      <sz val="20"/>
      <color rgb="FF000000"/>
      <name val="Calibri"/>
    </font>
    <font>
      <sz val="10"/>
      <color rgb="FF000000"/>
      <name val="SansSerif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1"/>
      <color rgb="FFDA291C"/>
      <name val="Calibri"/>
    </font>
    <font>
      <sz val="6"/>
      <color rgb="FF000000"/>
      <name val="SignaColumn-Book"/>
    </font>
    <font>
      <b/>
      <u/>
      <sz val="1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37" fontId="4" fillId="2" borderId="14" xfId="0" applyNumberFormat="1" applyFont="1" applyFill="1" applyBorder="1" applyAlignment="1">
      <alignment horizontal="right" wrapText="1"/>
    </xf>
    <xf numFmtId="0" fontId="4" fillId="3" borderId="15" xfId="0" applyFont="1" applyFill="1" applyBorder="1" applyAlignment="1">
      <alignment horizontal="left" vertical="top" wrapText="1"/>
    </xf>
    <xf numFmtId="166" fontId="4" fillId="3" borderId="15" xfId="0" applyNumberFormat="1" applyFont="1" applyFill="1" applyBorder="1" applyAlignment="1">
      <alignment horizontal="right" vertical="top" wrapText="1"/>
    </xf>
    <xf numFmtId="166" fontId="4" fillId="3" borderId="0" xfId="0" applyNumberFormat="1" applyFont="1" applyFill="1" applyBorder="1" applyAlignment="1">
      <alignment horizontal="right" vertical="top" wrapText="1"/>
    </xf>
    <xf numFmtId="166" fontId="4" fillId="3" borderId="16" xfId="0" applyNumberFormat="1" applyFont="1" applyFill="1" applyBorder="1" applyAlignment="1">
      <alignment horizontal="right" vertical="top" wrapText="1"/>
    </xf>
    <xf numFmtId="167" fontId="4" fillId="3" borderId="15" xfId="0" applyNumberFormat="1" applyFont="1" applyFill="1" applyBorder="1" applyAlignment="1">
      <alignment horizontal="right" vertical="top" wrapText="1"/>
    </xf>
    <xf numFmtId="37" fontId="4" fillId="3" borderId="17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16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37" fontId="3" fillId="0" borderId="17" xfId="0" applyNumberFormat="1" applyFont="1" applyBorder="1" applyAlignment="1">
      <alignment horizontal="right" vertical="top" wrapText="1"/>
    </xf>
    <xf numFmtId="0" fontId="3" fillId="3" borderId="15" xfId="0" applyFont="1" applyFill="1" applyBorder="1" applyAlignment="1">
      <alignment horizontal="left" vertical="top" wrapText="1"/>
    </xf>
    <xf numFmtId="166" fontId="3" fillId="3" borderId="15" xfId="0" applyNumberFormat="1" applyFont="1" applyFill="1" applyBorder="1" applyAlignment="1">
      <alignment horizontal="right" vertical="top" wrapText="1"/>
    </xf>
    <xf numFmtId="166" fontId="3" fillId="3" borderId="0" xfId="0" applyNumberFormat="1" applyFont="1" applyFill="1" applyBorder="1" applyAlignment="1">
      <alignment horizontal="right" vertical="top" wrapText="1"/>
    </xf>
    <xf numFmtId="166" fontId="3" fillId="3" borderId="16" xfId="0" applyNumberFormat="1" applyFont="1" applyFill="1" applyBorder="1" applyAlignment="1">
      <alignment horizontal="right" vertical="top" wrapText="1"/>
    </xf>
    <xf numFmtId="167" fontId="3" fillId="3" borderId="15" xfId="0" applyNumberFormat="1" applyFont="1" applyFill="1" applyBorder="1" applyAlignment="1">
      <alignment horizontal="right" vertical="top" wrapText="1"/>
    </xf>
    <xf numFmtId="37" fontId="3" fillId="3" borderId="17" xfId="0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right" vertical="top" wrapText="1"/>
    </xf>
    <xf numFmtId="166" fontId="4" fillId="0" borderId="16" xfId="0" applyNumberFormat="1" applyFont="1" applyBorder="1" applyAlignment="1">
      <alignment horizontal="right" vertical="top" wrapText="1"/>
    </xf>
    <xf numFmtId="167" fontId="4" fillId="0" borderId="15" xfId="0" applyNumberFormat="1" applyFont="1" applyBorder="1" applyAlignment="1">
      <alignment horizontal="right" vertical="top" wrapText="1"/>
    </xf>
    <xf numFmtId="37" fontId="4" fillId="0" borderId="1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37" fontId="4" fillId="2" borderId="11" xfId="0" applyNumberFormat="1" applyFont="1" applyFill="1" applyBorder="1" applyAlignment="1">
      <alignment horizontal="right" wrapText="1"/>
    </xf>
    <xf numFmtId="37" fontId="4" fillId="2" borderId="12" xfId="0" applyNumberFormat="1" applyFont="1" applyFill="1" applyBorder="1" applyAlignment="1">
      <alignment horizontal="right" wrapText="1"/>
    </xf>
    <xf numFmtId="37" fontId="4" fillId="2" borderId="13" xfId="0" applyNumberFormat="1" applyFont="1" applyFill="1" applyBorder="1" applyAlignment="1">
      <alignment horizontal="right" wrapText="1"/>
    </xf>
    <xf numFmtId="37" fontId="4" fillId="3" borderId="15" xfId="0" applyNumberFormat="1" applyFont="1" applyFill="1" applyBorder="1" applyAlignment="1">
      <alignment horizontal="right" vertical="top" wrapText="1"/>
    </xf>
    <xf numFmtId="37" fontId="4" fillId="3" borderId="0" xfId="0" applyNumberFormat="1" applyFont="1" applyFill="1" applyBorder="1" applyAlignment="1">
      <alignment horizontal="right" vertical="top" wrapText="1"/>
    </xf>
    <xf numFmtId="37" fontId="3" fillId="0" borderId="15" xfId="0" applyNumberFormat="1" applyFont="1" applyBorder="1" applyAlignment="1">
      <alignment horizontal="right" vertical="top" wrapText="1"/>
    </xf>
    <xf numFmtId="37" fontId="3" fillId="0" borderId="0" xfId="0" applyNumberFormat="1" applyFont="1" applyBorder="1" applyAlignment="1">
      <alignment horizontal="right" vertical="top" wrapText="1"/>
    </xf>
    <xf numFmtId="37" fontId="3" fillId="3" borderId="15" xfId="0" applyNumberFormat="1" applyFont="1" applyFill="1" applyBorder="1" applyAlignment="1">
      <alignment horizontal="right" vertical="top" wrapText="1"/>
    </xf>
    <xf numFmtId="37" fontId="3" fillId="3" borderId="0" xfId="0" applyNumberFormat="1" applyFont="1" applyFill="1" applyBorder="1" applyAlignment="1">
      <alignment horizontal="right" vertical="top" wrapText="1"/>
    </xf>
    <xf numFmtId="37" fontId="4" fillId="0" borderId="15" xfId="0" applyNumberFormat="1" applyFont="1" applyBorder="1" applyAlignment="1">
      <alignment horizontal="right" vertical="top" wrapText="1"/>
    </xf>
    <xf numFmtId="37" fontId="4" fillId="0" borderId="0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horizontal="left" vertical="top" wrapText="1"/>
    </xf>
    <xf numFmtId="15" fontId="0" fillId="0" borderId="0" xfId="0" applyNumberFormat="1"/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7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8" fillId="4" borderId="8" xfId="0" applyFont="1" applyFill="1" applyBorder="1" applyAlignment="1">
      <alignment horizontal="left" vertical="top" wrapText="1"/>
    </xf>
    <xf numFmtId="165" fontId="8" fillId="4" borderId="11" xfId="0" applyNumberFormat="1" applyFont="1" applyFill="1" applyBorder="1" applyAlignment="1">
      <alignment horizontal="right" wrapText="1"/>
    </xf>
    <xf numFmtId="165" fontId="8" fillId="4" borderId="12" xfId="0" applyNumberFormat="1" applyFont="1" applyFill="1" applyBorder="1" applyAlignment="1">
      <alignment horizontal="right" wrapText="1"/>
    </xf>
    <xf numFmtId="165" fontId="8" fillId="4" borderId="13" xfId="0" applyNumberFormat="1" applyFont="1" applyFill="1" applyBorder="1" applyAlignment="1">
      <alignment horizontal="right" wrapText="1"/>
    </xf>
    <xf numFmtId="37" fontId="8" fillId="4" borderId="14" xfId="0" applyNumberFormat="1" applyFont="1" applyFill="1" applyBorder="1" applyAlignment="1">
      <alignment horizontal="right" wrapText="1"/>
    </xf>
    <xf numFmtId="166" fontId="9" fillId="3" borderId="15" xfId="0" applyNumberFormat="1" applyFont="1" applyFill="1" applyBorder="1" applyAlignment="1">
      <alignment horizontal="right" vertical="top" wrapText="1"/>
    </xf>
    <xf numFmtId="166" fontId="10" fillId="0" borderId="15" xfId="0" applyNumberFormat="1" applyFont="1" applyBorder="1" applyAlignment="1">
      <alignment horizontal="right" vertical="top" wrapText="1"/>
    </xf>
    <xf numFmtId="166" fontId="10" fillId="3" borderId="15" xfId="0" applyNumberFormat="1" applyFont="1" applyFill="1" applyBorder="1" applyAlignment="1">
      <alignment horizontal="right" vertical="top" wrapText="1"/>
    </xf>
    <xf numFmtId="0" fontId="10" fillId="3" borderId="15" xfId="0" applyFont="1" applyFill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2743200" cy="1536700"/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2743200" cy="1536700"/>
    <xdr:pic>
      <xdr:nvPicPr>
        <xdr:cNvPr id="9" name="Picture 1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"/>
  <sheetViews>
    <sheetView tabSelected="1" workbookViewId="0">
      <selection activeCell="A2" sqref="A2"/>
    </sheetView>
  </sheetViews>
  <sheetFormatPr baseColWidth="10" defaultColWidth="9.140625" defaultRowHeight="15"/>
  <cols>
    <col min="1" max="1" width="54.85546875" customWidth="1"/>
    <col min="2" max="10" width="13.7109375" hidden="1" customWidth="1"/>
    <col min="11" max="11" width="13.7109375" customWidth="1"/>
    <col min="12" max="13" width="13.7109375" hidden="1" customWidth="1"/>
    <col min="14" max="14" width="13.7109375" customWidth="1"/>
    <col min="15" max="15" width="27.42578125" customWidth="1"/>
  </cols>
  <sheetData>
    <row r="1" spans="1:15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75"/>
      <c r="O1" s="76"/>
    </row>
    <row r="2" spans="1:15" ht="24" customHeight="1">
      <c r="A2" s="4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5"/>
      <c r="O2" s="76"/>
    </row>
    <row r="3" spans="1:15" ht="24" customHeight="1">
      <c r="A3" s="5">
        <v>43453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5"/>
      <c r="O3" s="76"/>
    </row>
    <row r="4" spans="1:15" ht="24" customHeight="1">
      <c r="A4" s="6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5"/>
      <c r="O4" s="76"/>
    </row>
    <row r="5" spans="1:15" ht="36" customHeight="1">
      <c r="A5" s="113" t="s">
        <v>122</v>
      </c>
      <c r="B5" s="79" t="s">
        <v>3</v>
      </c>
      <c r="C5" s="80"/>
      <c r="D5" s="81"/>
      <c r="E5" s="79" t="s">
        <v>4</v>
      </c>
      <c r="F5" s="80"/>
      <c r="G5" s="81"/>
      <c r="H5" s="79" t="s">
        <v>5</v>
      </c>
      <c r="I5" s="80"/>
      <c r="J5" s="81"/>
      <c r="K5" s="79" t="s">
        <v>6</v>
      </c>
      <c r="L5" s="80"/>
      <c r="M5" s="81"/>
      <c r="N5" s="79" t="s">
        <v>7</v>
      </c>
      <c r="O5" s="81"/>
    </row>
    <row r="6" spans="1:15">
      <c r="A6" s="7"/>
      <c r="B6" s="8" t="s">
        <v>8</v>
      </c>
      <c r="C6" s="9" t="s">
        <v>9</v>
      </c>
      <c r="D6" s="10" t="s">
        <v>10</v>
      </c>
      <c r="E6" s="8" t="s">
        <v>8</v>
      </c>
      <c r="F6" s="9" t="s">
        <v>9</v>
      </c>
      <c r="G6" s="10" t="s">
        <v>10</v>
      </c>
      <c r="H6" s="8" t="s">
        <v>8</v>
      </c>
      <c r="I6" s="9" t="s">
        <v>9</v>
      </c>
      <c r="J6" s="10" t="s">
        <v>10</v>
      </c>
      <c r="K6" s="8" t="s">
        <v>8</v>
      </c>
      <c r="L6" s="9" t="s">
        <v>9</v>
      </c>
      <c r="M6" s="10" t="s">
        <v>10</v>
      </c>
      <c r="N6" s="8" t="s">
        <v>11</v>
      </c>
      <c r="O6" s="10" t="s">
        <v>7</v>
      </c>
    </row>
    <row r="7" spans="1:15" ht="18.75">
      <c r="A7" s="103" t="s">
        <v>12</v>
      </c>
      <c r="B7" s="104">
        <f>ROUND(-0.00140781786819333,4)</f>
        <v>-1.4E-3</v>
      </c>
      <c r="C7" s="105">
        <f>ROUND(-0.00217602349912127,4)</f>
        <v>-2.2000000000000001E-3</v>
      </c>
      <c r="D7" s="106">
        <f>ROUND(0.000768205630927939,4)</f>
        <v>8.0000000000000004E-4</v>
      </c>
      <c r="E7" s="104">
        <f>ROUND(-0.018415094158222,4)</f>
        <v>-1.84E-2</v>
      </c>
      <c r="F7" s="105">
        <f>ROUND(-0.0257426694691972,4)</f>
        <v>-2.5700000000000001E-2</v>
      </c>
      <c r="G7" s="106">
        <f>ROUND(0.0073275753109752,4)</f>
        <v>7.3000000000000001E-3</v>
      </c>
      <c r="H7" s="104">
        <f>ROUND(-0.0388505462155468,4)</f>
        <v>-3.8899999999999997E-2</v>
      </c>
      <c r="I7" s="105">
        <f>ROUND(-0.0412471884822246,4)</f>
        <v>-4.1200000000000001E-2</v>
      </c>
      <c r="J7" s="106">
        <f>ROUND(0.00239664226667779,4)</f>
        <v>2.3999999999999998E-3</v>
      </c>
      <c r="K7" s="104">
        <f>ROUND(-0.0106230702945976,4)</f>
        <v>-1.06E-2</v>
      </c>
      <c r="L7" s="105">
        <f>ROUND(-0.00768657749736745,4)</f>
        <v>-7.7000000000000002E-3</v>
      </c>
      <c r="M7" s="106">
        <f>ROUND(-0.00293649279723015,4)</f>
        <v>-2.8999999999999998E-3</v>
      </c>
      <c r="N7" s="104">
        <f>ROUND(1,4)</f>
        <v>1</v>
      </c>
      <c r="O7" s="107">
        <f>ROUND(707449369.47,0)</f>
        <v>707449369</v>
      </c>
    </row>
    <row r="8" spans="1:15">
      <c r="A8" s="12" t="s">
        <v>13</v>
      </c>
      <c r="B8" s="13">
        <f>ROUND(-0.000620350653415369,4)</f>
        <v>-5.9999999999999995E-4</v>
      </c>
      <c r="C8" s="14">
        <f>ROUND(-0.00108917953138199,4)</f>
        <v>-1.1000000000000001E-3</v>
      </c>
      <c r="D8" s="14">
        <f>ROUND(0.000468828877966621,4)</f>
        <v>5.0000000000000001E-4</v>
      </c>
      <c r="E8" s="13">
        <f>ROUND(-0.0337277817381155,4)</f>
        <v>-3.3700000000000001E-2</v>
      </c>
      <c r="F8" s="14">
        <f>ROUND(-0.0321013631365794,4)</f>
        <v>-3.2099999999999997E-2</v>
      </c>
      <c r="G8" s="15">
        <f>ROUND(-0.00162641860153609,4)</f>
        <v>-1.6000000000000001E-3</v>
      </c>
      <c r="H8" s="13">
        <f>ROUND(-0.0725350702612527,4)</f>
        <v>-7.2499999999999995E-2</v>
      </c>
      <c r="I8" s="14">
        <f>ROUND(-0.0612637361574105,4)</f>
        <v>-6.13E-2</v>
      </c>
      <c r="J8" s="15">
        <f>ROUND(-0.0112713341038421,4)</f>
        <v>-1.1299999999999999E-2</v>
      </c>
      <c r="K8" s="108">
        <f>ROUND(-0.0474835654156131,4)</f>
        <v>-4.7500000000000001E-2</v>
      </c>
      <c r="L8" s="14">
        <f>ROUND(-0.0184667953750407,4)</f>
        <v>-1.8499999999999999E-2</v>
      </c>
      <c r="M8" s="15">
        <f>ROUND(-0.0290167700405724,4)</f>
        <v>-2.9000000000000001E-2</v>
      </c>
      <c r="N8" s="16">
        <f>ROUND(0.550512242341485,3)</f>
        <v>0.55100000000000005</v>
      </c>
      <c r="O8" s="17">
        <f>ROUND(389459538.73,0)</f>
        <v>389459539</v>
      </c>
    </row>
    <row r="9" spans="1:15">
      <c r="A9" s="18" t="s">
        <v>14</v>
      </c>
      <c r="B9" s="19">
        <f>ROUND(-0.000826481578546034,4)</f>
        <v>-8.0000000000000004E-4</v>
      </c>
      <c r="C9" s="20">
        <f>ROUND(-0.0020763132695526,4)</f>
        <v>-2.0999999999999999E-3</v>
      </c>
      <c r="D9" s="20">
        <f>ROUND(0.00124983169100656,4)</f>
        <v>1.1999999999999999E-3</v>
      </c>
      <c r="E9" s="19">
        <f>ROUND(-0.0445531163074752,4)</f>
        <v>-4.4600000000000001E-2</v>
      </c>
      <c r="F9" s="20">
        <f>ROUND(-0.0571525937562138,4)</f>
        <v>-5.7200000000000001E-2</v>
      </c>
      <c r="G9" s="21">
        <f>ROUND(0.0125994774487386,4)</f>
        <v>1.26E-2</v>
      </c>
      <c r="H9" s="19">
        <f>ROUND(-0.0959181426322502,4)</f>
        <v>-9.5899999999999999E-2</v>
      </c>
      <c r="I9" s="20">
        <f>ROUND(-0.110060777360702,4)</f>
        <v>-0.1101</v>
      </c>
      <c r="J9" s="21">
        <f>ROUND(0.0141426347284518,4)</f>
        <v>1.41E-2</v>
      </c>
      <c r="K9" s="109">
        <f>ROUND(-0.0721284360694334,4)</f>
        <v>-7.2099999999999997E-2</v>
      </c>
      <c r="L9" s="20">
        <f>ROUND(-0.0384316720281146,4)</f>
        <v>-3.8399999999999997E-2</v>
      </c>
      <c r="M9" s="21">
        <f>ROUND(-0.0336967640413188,4)</f>
        <v>-3.3700000000000001E-2</v>
      </c>
      <c r="N9" s="22">
        <f>ROUND(0.402587823271892,3)</f>
        <v>0.40300000000000002</v>
      </c>
      <c r="O9" s="23">
        <f>ROUND(284810501.73,0)</f>
        <v>284810502</v>
      </c>
    </row>
    <row r="10" spans="1:15">
      <c r="A10" s="24" t="s">
        <v>15</v>
      </c>
      <c r="B10" s="25">
        <f>ROUND(0,4)</f>
        <v>0</v>
      </c>
      <c r="C10" s="26">
        <f>ROUND(0.0102129170000358,4)</f>
        <v>1.0200000000000001E-2</v>
      </c>
      <c r="D10" s="26">
        <f>ROUND(-0.0102129170000358,4)</f>
        <v>-1.0200000000000001E-2</v>
      </c>
      <c r="E10" s="25">
        <f>ROUND(-0.0311320949046132,4)</f>
        <v>-3.1099999999999999E-2</v>
      </c>
      <c r="F10" s="26">
        <f>ROUND(-0.0418022046644455,4)</f>
        <v>-4.1799999999999997E-2</v>
      </c>
      <c r="G10" s="27">
        <f>ROUND(0.0106701097598323,4)</f>
        <v>1.0699999999999999E-2</v>
      </c>
      <c r="H10" s="25">
        <f>ROUND(-0.0705957835832766,4)</f>
        <v>-7.0599999999999996E-2</v>
      </c>
      <c r="I10" s="26">
        <f>ROUND(-0.120721103265463,4)</f>
        <v>-0.1207</v>
      </c>
      <c r="J10" s="27">
        <f>ROUND(0.0501253196821863,4)</f>
        <v>5.0099999999999999E-2</v>
      </c>
      <c r="K10" s="110">
        <f>ROUND(-0.0163674727797452,4)</f>
        <v>-1.6400000000000001E-2</v>
      </c>
      <c r="L10" s="26">
        <f>ROUND(0.0129394942867724,4)</f>
        <v>1.29E-2</v>
      </c>
      <c r="M10" s="27">
        <f>ROUND(-0.0293069670665176,4)</f>
        <v>-2.93E-2</v>
      </c>
      <c r="N10" s="28">
        <f>ROUND(0.0439081959225878,3)</f>
        <v>4.3999999999999997E-2</v>
      </c>
      <c r="O10" s="29">
        <f>ROUND(31062825.52,0)</f>
        <v>31062826</v>
      </c>
    </row>
    <row r="11" spans="1:15" hidden="1">
      <c r="A11" s="18" t="s">
        <v>16</v>
      </c>
      <c r="B11" s="19">
        <f>ROUND(0,4)</f>
        <v>0</v>
      </c>
      <c r="C11" s="20">
        <f>ROUND(0.0111896809566014,4)</f>
        <v>1.12E-2</v>
      </c>
      <c r="D11" s="20">
        <f>ROUND(-0.0111896809566014,4)</f>
        <v>-1.12E-2</v>
      </c>
      <c r="E11" s="19">
        <f>ROUND(-0.0311320949046131,4)</f>
        <v>-3.1099999999999999E-2</v>
      </c>
      <c r="F11" s="20">
        <f>ROUND(-0.0439060000000001,4)</f>
        <v>-4.3900000000000002E-2</v>
      </c>
      <c r="G11" s="21">
        <f>ROUND(0.0127739050953869,4)</f>
        <v>1.2800000000000001E-2</v>
      </c>
      <c r="H11" s="19">
        <f>ROUND(-0.0705957835832758,4)</f>
        <v>-7.0599999999999996E-2</v>
      </c>
      <c r="I11" s="20">
        <f>ROUND(-0.115760967509256,4)</f>
        <v>-0.1158</v>
      </c>
      <c r="J11" s="21">
        <f>ROUND(0.0451651839259802,4)</f>
        <v>4.5199999999999997E-2</v>
      </c>
      <c r="K11" s="109">
        <f>ROUND(-0.016367472779745,4)</f>
        <v>-1.6400000000000001E-2</v>
      </c>
      <c r="L11" s="20">
        <f>ROUND(0.0091986526052128,4)</f>
        <v>9.1999999999999998E-3</v>
      </c>
      <c r="M11" s="21">
        <f>ROUND(-0.0255661253849577,4)</f>
        <v>-2.5600000000000001E-2</v>
      </c>
      <c r="N11" s="22">
        <f>ROUND(0.0439081959225878,3)</f>
        <v>4.3999999999999997E-2</v>
      </c>
      <c r="O11" s="23">
        <f>ROUND(31062825.52,0)</f>
        <v>31062826</v>
      </c>
    </row>
    <row r="12" spans="1:15">
      <c r="A12" s="24" t="s">
        <v>17</v>
      </c>
      <c r="B12" s="25">
        <f>ROUND(-0.000927562464401288,4)</f>
        <v>-8.9999999999999998E-4</v>
      </c>
      <c r="C12" s="26">
        <f>ROUND(-0.00872174335702758,4)</f>
        <v>-8.6999999999999994E-3</v>
      </c>
      <c r="D12" s="26">
        <f>ROUND(0.00779418089262629,4)</f>
        <v>7.7999999999999996E-3</v>
      </c>
      <c r="E12" s="25">
        <f>ROUND(-0.0461752928931152,4)</f>
        <v>-4.6199999999999998E-2</v>
      </c>
      <c r="F12" s="26">
        <f>ROUND(-0.0654035464704414,4)</f>
        <v>-6.54E-2</v>
      </c>
      <c r="G12" s="27">
        <f>ROUND(0.0192282535773262,4)</f>
        <v>1.9199999999999998E-2</v>
      </c>
      <c r="H12" s="25">
        <f>ROUND(-0.0989378330245634,4)</f>
        <v>-9.8900000000000002E-2</v>
      </c>
      <c r="I12" s="26">
        <f>ROUND(-0.104856360735241,4)</f>
        <v>-0.10489999999999999</v>
      </c>
      <c r="J12" s="27">
        <f>ROUND(0.0059185277106776,4)</f>
        <v>5.8999999999999999E-3</v>
      </c>
      <c r="K12" s="110">
        <f>ROUND(-0.0784841849894375,4)</f>
        <v>-7.85E-2</v>
      </c>
      <c r="L12" s="26">
        <f>ROUND(-0.0664626543850775,4)</f>
        <v>-6.6500000000000004E-2</v>
      </c>
      <c r="M12" s="27">
        <f>ROUND(-0.01202153060436,4)</f>
        <v>-1.2E-2</v>
      </c>
      <c r="N12" s="28">
        <f>ROUND(0.358679627349304,3)</f>
        <v>0.35899999999999999</v>
      </c>
      <c r="O12" s="29">
        <f>ROUND(253747676.21,0)</f>
        <v>253747676</v>
      </c>
    </row>
    <row r="13" spans="1:15" hidden="1">
      <c r="A13" s="18" t="s">
        <v>18</v>
      </c>
      <c r="B13" s="19">
        <f>ROUND(-0.00981471706925274,4)</f>
        <v>-9.7999999999999997E-3</v>
      </c>
      <c r="C13" s="20">
        <f>ROUND(-0.0124875484420749,4)</f>
        <v>-1.2500000000000001E-2</v>
      </c>
      <c r="D13" s="20">
        <f>ROUND(0.00267283137282216,4)</f>
        <v>2.7000000000000001E-3</v>
      </c>
      <c r="E13" s="19">
        <f>ROUND(-0.0605633419120241,4)</f>
        <v>-6.0600000000000001E-2</v>
      </c>
      <c r="F13" s="20">
        <f>ROUND(-0.0642332843400426,4)</f>
        <v>-6.4199999999999993E-2</v>
      </c>
      <c r="G13" s="21">
        <f>ROUND(0.00366994242801858,4)</f>
        <v>3.7000000000000002E-3</v>
      </c>
      <c r="H13" s="19">
        <f>ROUND(-0.104468560817417,4)</f>
        <v>-0.1045</v>
      </c>
      <c r="I13" s="20">
        <f>ROUND(-0.0735690424423991,4)</f>
        <v>-7.3599999999999999E-2</v>
      </c>
      <c r="J13" s="21">
        <f>ROUND(-0.0308995183750179,4)</f>
        <v>-3.09E-2</v>
      </c>
      <c r="K13" s="109">
        <f>ROUND(-0.09153828022519,4)</f>
        <v>-9.1499999999999998E-2</v>
      </c>
      <c r="L13" s="20">
        <f>ROUND(-0.0275544724810943,4)</f>
        <v>-2.76E-2</v>
      </c>
      <c r="M13" s="21">
        <f>ROUND(-0.0639838077440957,4)</f>
        <v>-6.4000000000000001E-2</v>
      </c>
      <c r="N13" s="22">
        <f>ROUND(0.0422878184094114,3)</f>
        <v>4.2000000000000003E-2</v>
      </c>
      <c r="O13" s="23">
        <f>ROUND(29916490.47,0)</f>
        <v>29916490</v>
      </c>
    </row>
    <row r="14" spans="1:15" hidden="1">
      <c r="A14" s="24" t="s">
        <v>19</v>
      </c>
      <c r="B14" s="25">
        <f>ROUND(0,4)</f>
        <v>0</v>
      </c>
      <c r="C14" s="26">
        <f>ROUND(-0.012487548442075,4)</f>
        <v>-1.2500000000000001E-2</v>
      </c>
      <c r="D14" s="26">
        <f>ROUND(0.012487548442075,4)</f>
        <v>1.2500000000000001E-2</v>
      </c>
      <c r="E14" s="25">
        <f>ROUND(-0.0265934430893578,4)</f>
        <v>-2.6599999999999999E-2</v>
      </c>
      <c r="F14" s="26">
        <f>ROUND(-0.0642332843400428,4)</f>
        <v>-6.4199999999999993E-2</v>
      </c>
      <c r="G14" s="27">
        <f>ROUND(0.037639841250685,4)</f>
        <v>3.7600000000000001E-2</v>
      </c>
      <c r="H14" s="25">
        <f>ROUND(-0.0118765812376029,4)</f>
        <v>-1.1900000000000001E-2</v>
      </c>
      <c r="I14" s="26">
        <f>ROUND(-0.0735690424423987,4)</f>
        <v>-7.3599999999999999E-2</v>
      </c>
      <c r="J14" s="27">
        <f>ROUND(0.0616924612047958,4)</f>
        <v>6.1699999999999998E-2</v>
      </c>
      <c r="K14" s="110">
        <f>ROUND(0.123575982847562,4)</f>
        <v>0.1236</v>
      </c>
      <c r="L14" s="26">
        <f>ROUND(-0.0275544724810951,4)</f>
        <v>-2.76E-2</v>
      </c>
      <c r="M14" s="27">
        <f>ROUND(0.151130455328658,4)</f>
        <v>0.15110000000000001</v>
      </c>
      <c r="N14" s="28">
        <f>ROUND(0.0564653359008951,3)</f>
        <v>5.6000000000000001E-2</v>
      </c>
      <c r="O14" s="29">
        <f>ROUND(39946366.28,0)</f>
        <v>39946366</v>
      </c>
    </row>
    <row r="15" spans="1:15" hidden="1">
      <c r="A15" s="18" t="s">
        <v>20</v>
      </c>
      <c r="B15" s="19">
        <f>ROUND(0.00562058837618328,4)</f>
        <v>5.5999999999999999E-3</v>
      </c>
      <c r="C15" s="20">
        <f>ROUND(0.00353275577041323,4)</f>
        <v>3.5000000000000001E-3</v>
      </c>
      <c r="D15" s="20">
        <f>ROUND(0.00208783260577005,4)</f>
        <v>2.0999999999999999E-3</v>
      </c>
      <c r="E15" s="19">
        <f>ROUND(-0.0304068226068523,4)</f>
        <v>-3.04E-2</v>
      </c>
      <c r="F15" s="20">
        <f>ROUND(-0.0279634738045265,4)</f>
        <v>-2.8000000000000001E-2</v>
      </c>
      <c r="G15" s="21">
        <f>ROUND(-0.00244334880232579,4)</f>
        <v>-2.3999999999999998E-3</v>
      </c>
      <c r="H15" s="19">
        <f>ROUND(-0.102906583141307,4)</f>
        <v>-0.10290000000000001</v>
      </c>
      <c r="I15" s="20">
        <f>ROUND(-0.0602798848965612,4)</f>
        <v>-6.0299999999999999E-2</v>
      </c>
      <c r="J15" s="21">
        <f>ROUND(-0.0426266982447458,4)</f>
        <v>-4.2599999999999999E-2</v>
      </c>
      <c r="K15" s="109">
        <f>ROUND(-0.141998692711445,4)</f>
        <v>-0.14199999999999999</v>
      </c>
      <c r="L15" s="20">
        <f>ROUND(-0.0874356432046054,4)</f>
        <v>-8.7400000000000005E-2</v>
      </c>
      <c r="M15" s="21">
        <f>ROUND(-0.0545630495068395,4)</f>
        <v>-5.4600000000000003E-2</v>
      </c>
      <c r="N15" s="22">
        <f>ROUND(0.0339024097483729,3)</f>
        <v>3.4000000000000002E-2</v>
      </c>
      <c r="O15" s="23">
        <f>ROUND(23984238.4,0)</f>
        <v>23984238</v>
      </c>
    </row>
    <row r="16" spans="1:15" hidden="1">
      <c r="A16" s="24" t="s">
        <v>21</v>
      </c>
      <c r="B16" s="25">
        <f>ROUND(0,4)</f>
        <v>0</v>
      </c>
      <c r="C16" s="26">
        <f>ROUND(0.00699382759510891,4)</f>
        <v>7.0000000000000001E-3</v>
      </c>
      <c r="D16" s="26">
        <f>ROUND(-0.00699382759510891,4)</f>
        <v>-7.0000000000000001E-3</v>
      </c>
      <c r="E16" s="25">
        <f>ROUND(-0.00450466469611843,4)</f>
        <v>-4.4999999999999997E-3</v>
      </c>
      <c r="F16" s="26">
        <f>ROUND(0.00114998466687099,4)</f>
        <v>1.1000000000000001E-3</v>
      </c>
      <c r="G16" s="27">
        <f>ROUND(-0.00565464936298941,4)</f>
        <v>-5.7000000000000002E-3</v>
      </c>
      <c r="H16" s="25">
        <f>ROUND(-0.0073416855732743,4)</f>
        <v>-7.3000000000000001E-3</v>
      </c>
      <c r="I16" s="26">
        <f>ROUND(0.0304246220457927,4)</f>
        <v>3.04E-2</v>
      </c>
      <c r="J16" s="27">
        <f>ROUND(-0.037766307619067,4)</f>
        <v>-3.78E-2</v>
      </c>
      <c r="K16" s="110">
        <f>ROUND(-0.19701194441127,4)</f>
        <v>-0.19700000000000001</v>
      </c>
      <c r="L16" s="26">
        <f>ROUND(-0.102200944072187,4)</f>
        <v>-0.1022</v>
      </c>
      <c r="M16" s="27">
        <f>ROUND(-0.094811000339083,4)</f>
        <v>-9.4799999999999995E-2</v>
      </c>
      <c r="N16" s="28">
        <f>ROUND(0.0176539440686145,3)</f>
        <v>1.7999999999999999E-2</v>
      </c>
      <c r="O16" s="29">
        <f>ROUND(12489271.6,0)</f>
        <v>12489272</v>
      </c>
    </row>
    <row r="17" spans="1:15" hidden="1">
      <c r="A17" s="18" t="s">
        <v>22</v>
      </c>
      <c r="B17" s="19">
        <f>ROUND(0,4)</f>
        <v>0</v>
      </c>
      <c r="C17" s="20">
        <f>ROUND(-0.012487548442075,4)</f>
        <v>-1.2500000000000001E-2</v>
      </c>
      <c r="D17" s="20">
        <f>ROUND(0.012487548442075,4)</f>
        <v>1.2500000000000001E-2</v>
      </c>
      <c r="E17" s="19">
        <f>ROUND(-0.0390989395738803,4)</f>
        <v>-3.9100000000000003E-2</v>
      </c>
      <c r="F17" s="20">
        <f>ROUND(-0.0642332843400431,4)</f>
        <v>-6.4199999999999993E-2</v>
      </c>
      <c r="G17" s="21">
        <f>ROUND(0.0251343447661628,4)</f>
        <v>2.5100000000000001E-2</v>
      </c>
      <c r="H17" s="19">
        <f>ROUND(-0.0441714109292639,4)</f>
        <v>-4.4200000000000003E-2</v>
      </c>
      <c r="I17" s="20">
        <f>ROUND(-0.0735690424423993,4)</f>
        <v>-7.3599999999999999E-2</v>
      </c>
      <c r="J17" s="21">
        <f>ROUND(0.0293976315131353,4)</f>
        <v>2.9399999999999999E-2</v>
      </c>
      <c r="K17" s="109">
        <f>ROUND(-0.0484010939222346,4)</f>
        <v>-4.8399999999999999E-2</v>
      </c>
      <c r="L17" s="20">
        <f>ROUND(-0.0275544724810943,4)</f>
        <v>-2.76E-2</v>
      </c>
      <c r="M17" s="21">
        <f>ROUND(-0.0208466214411403,4)</f>
        <v>-2.0799999999999999E-2</v>
      </c>
      <c r="N17" s="22">
        <f>ROUND(0.0282307530430938,3)</f>
        <v>2.8000000000000001E-2</v>
      </c>
      <c r="O17" s="23">
        <f>ROUND(19971828.44,0)</f>
        <v>19971828</v>
      </c>
    </row>
    <row r="18" spans="1:15" hidden="1">
      <c r="A18" s="24" t="s">
        <v>23</v>
      </c>
      <c r="B18" s="25">
        <f>ROUND(0.00129345951594972,4)</f>
        <v>1.2999999999999999E-3</v>
      </c>
      <c r="C18" s="26">
        <f>ROUND(-0.00030314257805919,4)</f>
        <v>-2.9999999999999997E-4</v>
      </c>
      <c r="D18" s="26">
        <f>ROUND(0.00159660209400891,4)</f>
        <v>1.6000000000000001E-3</v>
      </c>
      <c r="E18" s="25">
        <f>ROUND(-0.0238561022209262,4)</f>
        <v>-2.3900000000000001E-2</v>
      </c>
      <c r="F18" s="26">
        <f>ROUND(-0.0106666666666665,4)</f>
        <v>-1.0699999999999999E-2</v>
      </c>
      <c r="G18" s="27">
        <f>ROUND(-0.0131894355542597,4)</f>
        <v>-1.32E-2</v>
      </c>
      <c r="H18" s="25">
        <f>ROUND(-0.13027751263509,4)</f>
        <v>-0.1303</v>
      </c>
      <c r="I18" s="26">
        <f>ROUND(-0.0691114729839994,4)</f>
        <v>-6.9099999999999995E-2</v>
      </c>
      <c r="J18" s="27">
        <f>ROUND(-0.0611660396510906,4)</f>
        <v>-6.1199999999999997E-2</v>
      </c>
      <c r="K18" s="110">
        <f>ROUND(-0.117890769026225,4)</f>
        <v>-0.1179</v>
      </c>
      <c r="L18" s="26">
        <f>ROUND(-0.043362170674782,4)</f>
        <v>-4.3400000000000001E-2</v>
      </c>
      <c r="M18" s="27">
        <f>ROUND(-0.074528598351443,4)</f>
        <v>-7.4499999999999997E-2</v>
      </c>
      <c r="N18" s="28">
        <f>ROUND(0.0505015204929305,3)</f>
        <v>5.0999999999999997E-2</v>
      </c>
      <c r="O18" s="29">
        <f>ROUND(35727268.83,0)</f>
        <v>35727269</v>
      </c>
    </row>
    <row r="19" spans="1:15" hidden="1">
      <c r="A19" s="18" t="s">
        <v>24</v>
      </c>
      <c r="B19" s="19">
        <f>ROUND(0,4)</f>
        <v>0</v>
      </c>
      <c r="C19" s="20">
        <f>ROUND(-0.0124875484420749,4)</f>
        <v>-1.2500000000000001E-2</v>
      </c>
      <c r="D19" s="20">
        <f>ROUND(0.0124875484420749,4)</f>
        <v>1.2500000000000001E-2</v>
      </c>
      <c r="E19" s="19">
        <f>ROUND(-0.0690381327948776,4)</f>
        <v>-6.9000000000000006E-2</v>
      </c>
      <c r="F19" s="20">
        <f>ROUND(-0.0642332843400432,4)</f>
        <v>-6.4199999999999993E-2</v>
      </c>
      <c r="G19" s="21">
        <f>ROUND(-0.00480484845483439,4)</f>
        <v>-4.7999999999999996E-3</v>
      </c>
      <c r="H19" s="19">
        <f>ROUND(-0.0677447072272053,4)</f>
        <v>-6.7699999999999996E-2</v>
      </c>
      <c r="I19" s="20">
        <f>ROUND(-0.0735690424423995,4)</f>
        <v>-7.3599999999999999E-2</v>
      </c>
      <c r="J19" s="21">
        <f>ROUND(0.0058243352151942,4)</f>
        <v>5.7999999999999996E-3</v>
      </c>
      <c r="K19" s="109">
        <f>ROUND(0.0207876808477041,4)</f>
        <v>2.0799999999999999E-2</v>
      </c>
      <c r="L19" s="20">
        <f>ROUND(-0.0275544724810953,4)</f>
        <v>-2.76E-2</v>
      </c>
      <c r="M19" s="21">
        <f>ROUND(0.0483421533287995,4)</f>
        <v>4.8300000000000003E-2</v>
      </c>
      <c r="N19" s="22">
        <f>ROUND(0.0250327179784856,3)</f>
        <v>2.5000000000000001E-2</v>
      </c>
      <c r="O19" s="23">
        <f>ROUND(17709380.55,0)</f>
        <v>17709381</v>
      </c>
    </row>
    <row r="20" spans="1:15" hidden="1">
      <c r="A20" s="24" t="s">
        <v>25</v>
      </c>
      <c r="B20" s="25">
        <f>ROUND(-0.0107253022576849,4)</f>
        <v>-1.0699999999999999E-2</v>
      </c>
      <c r="C20" s="26">
        <f>ROUND(-0.012487548442075,4)</f>
        <v>-1.2500000000000001E-2</v>
      </c>
      <c r="D20" s="26">
        <f>ROUND(0.0017622461843901,4)</f>
        <v>1.8E-3</v>
      </c>
      <c r="E20" s="25">
        <f>ROUND(-0.0721086092706733,4)</f>
        <v>-7.2099999999999997E-2</v>
      </c>
      <c r="F20" s="26">
        <f>ROUND(-0.0642332843400431,4)</f>
        <v>-6.4199999999999993E-2</v>
      </c>
      <c r="G20" s="27">
        <f>ROUND(-0.00787532493063018,4)</f>
        <v>-7.9000000000000008E-3</v>
      </c>
      <c r="H20" s="25">
        <f>ROUND(-0.108141289692999,4)</f>
        <v>-0.1081</v>
      </c>
      <c r="I20" s="26">
        <f>ROUND(-0.0735690424423988,4)</f>
        <v>-7.3599999999999999E-2</v>
      </c>
      <c r="J20" s="27">
        <f>ROUND(-0.0345722472506001,4)</f>
        <v>-3.4599999999999999E-2</v>
      </c>
      <c r="K20" s="110">
        <f>ROUND(-0.0779030624926191,4)</f>
        <v>-7.7899999999999997E-2</v>
      </c>
      <c r="L20" s="26">
        <f>ROUND(-0.0275544724810938,4)</f>
        <v>-2.76E-2</v>
      </c>
      <c r="M20" s="27">
        <f>ROUND(-0.0503485900115253,4)</f>
        <v>-5.0299999999999997E-2</v>
      </c>
      <c r="N20" s="28">
        <f>ROUND(0.0472916203672137,3)</f>
        <v>4.7E-2</v>
      </c>
      <c r="O20" s="29">
        <f>ROUND(33456427.01,0)</f>
        <v>33456427</v>
      </c>
    </row>
    <row r="21" spans="1:15" hidden="1">
      <c r="A21" s="18" t="s">
        <v>26</v>
      </c>
      <c r="B21" s="19">
        <f>ROUND(0,4)</f>
        <v>0</v>
      </c>
      <c r="C21" s="20">
        <f>ROUND(-0.000904223003998283,4)</f>
        <v>-8.9999999999999998E-4</v>
      </c>
      <c r="D21" s="20">
        <f>ROUND(0.000904223003998283,4)</f>
        <v>8.9999999999999998E-4</v>
      </c>
      <c r="E21" s="19">
        <f>ROUND(-0.040665532215394,4)</f>
        <v>-4.07E-2</v>
      </c>
      <c r="F21" s="20">
        <f>ROUND(-0.00998207985663879,4)</f>
        <v>-0.01</v>
      </c>
      <c r="G21" s="21">
        <f>ROUND(-0.0306834523587552,4)</f>
        <v>-3.0700000000000002E-2</v>
      </c>
      <c r="H21" s="19">
        <f>ROUND(-0.122306817405166,4)</f>
        <v>-0.12230000000000001</v>
      </c>
      <c r="I21" s="20">
        <f>ROUND(-0.0658060717014146,4)</f>
        <v>-6.5799999999999997E-2</v>
      </c>
      <c r="J21" s="21">
        <f>ROUND(-0.0565007457037514,4)</f>
        <v>-5.6500000000000002E-2</v>
      </c>
      <c r="K21" s="109">
        <f>ROUND(-0.087413054763333,4)</f>
        <v>-8.7400000000000005E-2</v>
      </c>
      <c r="L21" s="20">
        <f>ROUND(-0.0539409317339346,4)</f>
        <v>-5.3900000000000003E-2</v>
      </c>
      <c r="M21" s="21">
        <f>ROUND(-0.0334721230293983,4)</f>
        <v>-3.3500000000000002E-2</v>
      </c>
      <c r="N21" s="22">
        <f>ROUND(0.0202913082539806,3)</f>
        <v>0.02</v>
      </c>
      <c r="O21" s="23">
        <f>ROUND(14355073.23,0)</f>
        <v>14355073</v>
      </c>
    </row>
    <row r="22" spans="1:15" hidden="1">
      <c r="A22" s="24" t="s">
        <v>27</v>
      </c>
      <c r="B22" s="25">
        <f>ROUND(0,4)</f>
        <v>0</v>
      </c>
      <c r="C22" s="26">
        <f>ROUND(-0.000304236236507105,4)</f>
        <v>-2.9999999999999997E-4</v>
      </c>
      <c r="D22" s="26">
        <f>ROUND(0.000304236236507105,4)</f>
        <v>2.9999999999999997E-4</v>
      </c>
      <c r="E22" s="25">
        <f>ROUND(-0.0569827821820066,4)</f>
        <v>-5.7000000000000002E-2</v>
      </c>
      <c r="F22" s="26">
        <f>ROUND(-0.0106668136048207,4)</f>
        <v>-1.0699999999999999E-2</v>
      </c>
      <c r="G22" s="27">
        <f>ROUND(-0.0463159685771859,4)</f>
        <v>-4.6300000000000001E-2</v>
      </c>
      <c r="H22" s="25">
        <f>ROUND(-0.117033171954828,4)</f>
        <v>-0.11700000000000001</v>
      </c>
      <c r="I22" s="26">
        <f>ROUND(-0.069112537182585,4)</f>
        <v>-6.9099999999999995E-2</v>
      </c>
      <c r="J22" s="27">
        <f>ROUND(-0.0479206347722429,4)</f>
        <v>-4.7899999999999998E-2</v>
      </c>
      <c r="K22" s="110">
        <f>ROUND(-0.121736467489727,4)</f>
        <v>-0.1217</v>
      </c>
      <c r="L22" s="26">
        <f>ROUND(-0.0433646057752686,4)</f>
        <v>-4.3400000000000001E-2</v>
      </c>
      <c r="M22" s="27">
        <f>ROUND(-0.0783718617144584,4)</f>
        <v>-7.8399999999999997E-2</v>
      </c>
      <c r="N22" s="28">
        <f>ROUND(0.0185031033101445,3)</f>
        <v>1.9E-2</v>
      </c>
      <c r="O22" s="29">
        <f>ROUND(13090008.77,0)</f>
        <v>13090009</v>
      </c>
    </row>
    <row r="23" spans="1:15" hidden="1">
      <c r="A23" s="18" t="s">
        <v>28</v>
      </c>
      <c r="B23" s="19">
        <f>ROUND(0.00336206870625433,4)</f>
        <v>3.3999999999999998E-3</v>
      </c>
      <c r="C23" s="20">
        <f>ROUND(0.000428510515705581,4)</f>
        <v>4.0000000000000002E-4</v>
      </c>
      <c r="D23" s="20">
        <f>ROUND(0.00293355819054874,4)</f>
        <v>2.8999999999999998E-3</v>
      </c>
      <c r="E23" s="19">
        <f>ROUND(-0.0102049497856486,4)</f>
        <v>-1.0200000000000001E-2</v>
      </c>
      <c r="F23" s="20">
        <f>ROUND(-0.0184703846751505,4)</f>
        <v>-1.8499999999999999E-2</v>
      </c>
      <c r="G23" s="21">
        <f>ROUND(0.00826543488950199,4)</f>
        <v>8.3000000000000001E-3</v>
      </c>
      <c r="H23" s="19">
        <f>ROUND(0.0296355271970027,4)</f>
        <v>2.9600000000000001E-2</v>
      </c>
      <c r="I23" s="20">
        <f>ROUND(-0.014321832597637,4)</f>
        <v>-1.43E-2</v>
      </c>
      <c r="J23" s="21">
        <f>ROUND(0.0439573597946398,4)</f>
        <v>4.3999999999999997E-2</v>
      </c>
      <c r="K23" s="109">
        <f>ROUND(-0.00512864399999891,4)</f>
        <v>-5.1000000000000004E-3</v>
      </c>
      <c r="L23" s="20">
        <f>ROUND(-0.04463383572344,4)</f>
        <v>-4.4600000000000001E-2</v>
      </c>
      <c r="M23" s="21">
        <f>ROUND(0.039505191723441,4)</f>
        <v>3.95E-2</v>
      </c>
      <c r="N23" s="22">
        <f>ROUND(0.0210941884804843,3)</f>
        <v>2.1000000000000001E-2</v>
      </c>
      <c r="O23" s="23">
        <f>ROUND(14923070.34,0)</f>
        <v>14923070</v>
      </c>
    </row>
    <row r="24" spans="1:15" hidden="1">
      <c r="A24" s="24" t="s">
        <v>29</v>
      </c>
      <c r="B24" s="24"/>
      <c r="C24" s="30"/>
      <c r="D24" s="30"/>
      <c r="E24" s="24"/>
      <c r="F24" s="30"/>
      <c r="G24" s="31"/>
      <c r="H24" s="24"/>
      <c r="I24" s="30"/>
      <c r="J24" s="31"/>
      <c r="K24" s="111"/>
      <c r="L24" s="30"/>
      <c r="M24" s="31"/>
      <c r="N24" s="28">
        <f>ROUND(-0.00257509270432285,3)</f>
        <v>-3.0000000000000001E-3</v>
      </c>
      <c r="O24" s="29">
        <f>ROUND(-1821747.71,0)</f>
        <v>-1821748</v>
      </c>
    </row>
    <row r="25" spans="1:15">
      <c r="A25" s="18" t="s">
        <v>30</v>
      </c>
      <c r="B25" s="19">
        <f>ROUND(0,4)</f>
        <v>0</v>
      </c>
      <c r="C25" s="20">
        <f>ROUND(0.000231424798872836,4)</f>
        <v>2.0000000000000001E-4</v>
      </c>
      <c r="D25" s="20">
        <f>ROUND(-0.000231424798872836,4)</f>
        <v>-2.0000000000000001E-4</v>
      </c>
      <c r="E25" s="19">
        <f>ROUND(-0.000565037966673065,4)</f>
        <v>-5.9999999999999995E-4</v>
      </c>
      <c r="F25" s="20">
        <f>ROUND(0.000573896193771573,4)</f>
        <v>5.9999999999999995E-4</v>
      </c>
      <c r="G25" s="21">
        <f>ROUND(-0.00113893416044463,4)</f>
        <v>-1.1000000000000001E-3</v>
      </c>
      <c r="H25" s="19">
        <f>ROUND(-0.00961737836488097,4)</f>
        <v>-9.5999999999999992E-3</v>
      </c>
      <c r="I25" s="20">
        <f>ROUND(0.00628432386617605,4)</f>
        <v>6.3E-3</v>
      </c>
      <c r="J25" s="21">
        <f>ROUND(-0.015901702231057,4)</f>
        <v>-1.5900000000000001E-2</v>
      </c>
      <c r="K25" s="109">
        <f>ROUND(-0.00625637776996524,4)</f>
        <v>-6.3E-3</v>
      </c>
      <c r="L25" s="20">
        <f>ROUND(0.00429778564609751,4)</f>
        <v>4.3E-3</v>
      </c>
      <c r="M25" s="21">
        <f>ROUND(-0.0105541634160627,4)</f>
        <v>-1.06E-2</v>
      </c>
      <c r="N25" s="22">
        <f>ROUND(0.0462552985304309,3)</f>
        <v>4.5999999999999999E-2</v>
      </c>
      <c r="O25" s="23">
        <f>ROUND(32723281.78,0)</f>
        <v>32723282</v>
      </c>
    </row>
    <row r="26" spans="1:15" hidden="1">
      <c r="A26" s="24" t="s">
        <v>31</v>
      </c>
      <c r="B26" s="25">
        <f>ROUND(0,4)</f>
        <v>0</v>
      </c>
      <c r="C26" s="26">
        <f>ROUND(0.000231424608148289,4)</f>
        <v>2.0000000000000001E-4</v>
      </c>
      <c r="D26" s="26">
        <f>ROUND(-0.000231424608148289,4)</f>
        <v>-2.0000000000000001E-4</v>
      </c>
      <c r="E26" s="25">
        <f>ROUND(-2.2204460492503E-16,4)</f>
        <v>0</v>
      </c>
      <c r="F26" s="26">
        <f>ROUND(0.000573896153846397,4)</f>
        <v>5.9999999999999995E-4</v>
      </c>
      <c r="G26" s="27">
        <f>ROUND(-0.00057389615384662,4)</f>
        <v>-5.9999999999999995E-4</v>
      </c>
      <c r="H26" s="25">
        <f>ROUND(-0.0174390594687005,4)</f>
        <v>-1.7399999999999999E-2</v>
      </c>
      <c r="I26" s="26">
        <f>ROUND(0.00628432448796089,4)</f>
        <v>6.3E-3</v>
      </c>
      <c r="J26" s="27">
        <f>ROUND(-0.0237233839566614,4)</f>
        <v>-2.3699999999999999E-2</v>
      </c>
      <c r="K26" s="25">
        <f>ROUND(-0.017634695481934,4)</f>
        <v>-1.7600000000000001E-2</v>
      </c>
      <c r="L26" s="26">
        <f>ROUND(0.00429778638586331,4)</f>
        <v>4.3E-3</v>
      </c>
      <c r="M26" s="27">
        <f>ROUND(-0.0219324818677973,4)</f>
        <v>-2.1899999999999999E-2</v>
      </c>
      <c r="N26" s="28">
        <f>ROUND(0.0245549092552221,3)</f>
        <v>2.5000000000000001E-2</v>
      </c>
      <c r="O26" s="29">
        <f>ROUND(17371355.07,0)</f>
        <v>17371355</v>
      </c>
    </row>
    <row r="27" spans="1:15" hidden="1">
      <c r="A27" s="18" t="s">
        <v>32</v>
      </c>
      <c r="B27" s="19">
        <f>ROUND(0,4)</f>
        <v>0</v>
      </c>
      <c r="C27" s="20">
        <f>ROUND(0.000231920683126274,4)</f>
        <v>2.0000000000000001E-4</v>
      </c>
      <c r="D27" s="20">
        <f>ROUND(-0.000231920683126274,4)</f>
        <v>-2.0000000000000001E-4</v>
      </c>
      <c r="E27" s="19">
        <f>ROUND(-0.00120363278962765,4)</f>
        <v>-1.1999999999999999E-3</v>
      </c>
      <c r="F27" s="20">
        <f>ROUND(0.000574000000000296,4)</f>
        <v>5.9999999999999995E-4</v>
      </c>
      <c r="G27" s="21">
        <f>ROUND(-0.00177763278962794,4)</f>
        <v>-1.8E-3</v>
      </c>
      <c r="H27" s="19">
        <f>ROUND(-0.000615272270095724,4)</f>
        <v>-5.9999999999999995E-4</v>
      </c>
      <c r="I27" s="20">
        <f>ROUND(0.00628270723014657,4)</f>
        <v>6.3E-3</v>
      </c>
      <c r="J27" s="21">
        <f>ROUND(-0.00689797950024229,4)</f>
        <v>-6.8999999999999999E-3</v>
      </c>
      <c r="K27" s="19">
        <f>ROUND(0.00694076062155967,4)</f>
        <v>6.8999999999999999E-3</v>
      </c>
      <c r="L27" s="20">
        <f>ROUND(0.0042958622619409,4)</f>
        <v>4.3E-3</v>
      </c>
      <c r="M27" s="21">
        <f>ROUND(0.00264489835961877,4)</f>
        <v>2.5999999999999999E-3</v>
      </c>
      <c r="N27" s="22">
        <f>ROUND(0.0217003892752087,3)</f>
        <v>2.1999999999999999E-2</v>
      </c>
      <c r="O27" s="23">
        <f>ROUND(15351926.71,0)</f>
        <v>15351927</v>
      </c>
    </row>
    <row r="28" spans="1:15">
      <c r="A28" s="24" t="s">
        <v>33</v>
      </c>
      <c r="B28" s="25">
        <f>ROUND(-0.000085721469494926,4)</f>
        <v>-1E-4</v>
      </c>
      <c r="C28" s="26">
        <f>ROUND(-5.79411350509762E-06,4)</f>
        <v>0</v>
      </c>
      <c r="D28" s="26">
        <f>ROUND(-0.0000799273559898283,4)</f>
        <v>-1E-4</v>
      </c>
      <c r="E28" s="25">
        <f>ROUND(-0.00426863895364105,4)</f>
        <v>-4.3E-3</v>
      </c>
      <c r="F28" s="26">
        <f>ROUND(0.000669512095404778,4)</f>
        <v>6.9999999999999999E-4</v>
      </c>
      <c r="G28" s="27">
        <f>ROUND(-0.00493815104904582,4)</f>
        <v>-4.8999999999999998E-3</v>
      </c>
      <c r="H28" s="25">
        <f>ROUND(-0.00199001003066279,4)</f>
        <v>-2E-3</v>
      </c>
      <c r="I28" s="26">
        <f>ROUND(0.00202576962161016,4)</f>
        <v>2E-3</v>
      </c>
      <c r="J28" s="27">
        <f>ROUND(-0.00401577965227295,4)</f>
        <v>-4.0000000000000001E-3</v>
      </c>
      <c r="K28" s="25">
        <f>ROUND(0.0315094266268039,4)</f>
        <v>3.15E-2</v>
      </c>
      <c r="L28" s="26">
        <f>ROUND(0.00567417219123567,4)</f>
        <v>5.7000000000000002E-3</v>
      </c>
      <c r="M28" s="27">
        <f>ROUND(0.0258352544355682,4)</f>
        <v>2.58E-2</v>
      </c>
      <c r="N28" s="28">
        <f>ROUND(0.101669120539162,3)</f>
        <v>0.10199999999999999</v>
      </c>
      <c r="O28" s="29">
        <f>ROUND(71925755.22,0)</f>
        <v>71925755</v>
      </c>
    </row>
    <row r="29" spans="1:15" hidden="1">
      <c r="A29" s="18" t="s">
        <v>34</v>
      </c>
      <c r="B29" s="19">
        <f>ROUND(0,4)</f>
        <v>0</v>
      </c>
      <c r="C29" s="20">
        <f>ROUND(-5.79408719492136E-06,4)</f>
        <v>0</v>
      </c>
      <c r="D29" s="20">
        <f>ROUND(5.79408719492136E-06,4)</f>
        <v>0</v>
      </c>
      <c r="E29" s="19">
        <f>ROUND(-0.00295678210669603,4)</f>
        <v>-3.0000000000000001E-3</v>
      </c>
      <c r="F29" s="20">
        <f>ROUND(0.000669511999999761,4)</f>
        <v>6.9999999999999999E-4</v>
      </c>
      <c r="G29" s="21">
        <f>ROUND(-0.00362629410669579,4)</f>
        <v>-3.5999999999999999E-3</v>
      </c>
      <c r="H29" s="19">
        <f>ROUND(0.00214697239481687,4)</f>
        <v>2.0999999999999999E-3</v>
      </c>
      <c r="I29" s="20">
        <f>ROUND(0.00202576973835611,4)</f>
        <v>2E-3</v>
      </c>
      <c r="J29" s="21">
        <f>ROUND(0.00012120265646076,4)</f>
        <v>1E-4</v>
      </c>
      <c r="K29" s="19">
        <f>ROUND(0.039936880346235,4)</f>
        <v>3.9899999999999998E-2</v>
      </c>
      <c r="L29" s="20">
        <f>ROUND(0.00567417178111618,4)</f>
        <v>5.7000000000000002E-3</v>
      </c>
      <c r="M29" s="21">
        <f>ROUND(0.0342627085651188,4)</f>
        <v>3.4299999999999997E-2</v>
      </c>
      <c r="N29" s="22">
        <f>ROUND(0.0538094676492807,3)</f>
        <v>5.3999999999999999E-2</v>
      </c>
      <c r="O29" s="23">
        <f>ROUND(38067473.96,0)</f>
        <v>38067474</v>
      </c>
    </row>
    <row r="30" spans="1:15" hidden="1">
      <c r="A30" s="24" t="s">
        <v>35</v>
      </c>
      <c r="B30" s="25">
        <f>ROUND(-0.000191729754435821,4)</f>
        <v>-2.0000000000000001E-4</v>
      </c>
      <c r="C30" s="26">
        <f>ROUND(-5.79408719503238E-06,4)</f>
        <v>0</v>
      </c>
      <c r="D30" s="26">
        <f>ROUND(-0.000185935667240788,4)</f>
        <v>-2.0000000000000001E-4</v>
      </c>
      <c r="E30" s="25">
        <f>ROUND(-0.00235717355459597,4)</f>
        <v>-2.3999999999999998E-3</v>
      </c>
      <c r="F30" s="26">
        <f>ROUND(0.000669512000000205,4)</f>
        <v>6.9999999999999999E-4</v>
      </c>
      <c r="G30" s="27">
        <f>ROUND(-0.00302668555459617,4)</f>
        <v>-3.0000000000000001E-3</v>
      </c>
      <c r="H30" s="25">
        <f>ROUND(-0.00203560370453537,4)</f>
        <v>-2E-3</v>
      </c>
      <c r="I30" s="26">
        <f>ROUND(0.00202576973835655,4)</f>
        <v>2E-3</v>
      </c>
      <c r="J30" s="27">
        <f>ROUND(-0.00406137344289192,4)</f>
        <v>-4.1000000000000003E-3</v>
      </c>
      <c r="K30" s="25">
        <f>ROUND(0.0203938838227224,4)</f>
        <v>2.0400000000000001E-2</v>
      </c>
      <c r="L30" s="26">
        <f>ROUND(0.00567417178111529,4)</f>
        <v>5.7000000000000002E-3</v>
      </c>
      <c r="M30" s="27">
        <f>ROUND(0.0147197120416071,4)</f>
        <v>1.47E-2</v>
      </c>
      <c r="N30" s="28">
        <f>ROUND(0.0460458863288044,3)</f>
        <v>4.5999999999999999E-2</v>
      </c>
      <c r="O30" s="29">
        <f>ROUND(32575133.25,0)</f>
        <v>32575133</v>
      </c>
    </row>
    <row r="31" spans="1:15" hidden="1">
      <c r="A31" s="18" t="s">
        <v>36</v>
      </c>
      <c r="B31" s="19">
        <f>ROUND(0.0000626398764449476,4)</f>
        <v>1E-4</v>
      </c>
      <c r="C31" s="20">
        <f>ROUND(-5.87140449870294E-06,4)</f>
        <v>0</v>
      </c>
      <c r="D31" s="20">
        <f>ROUND(0.0000685112809436505,4)</f>
        <v>1E-4</v>
      </c>
      <c r="E31" s="19">
        <f>ROUND(0.00034639867893449,4)</f>
        <v>2.9999999999999997E-4</v>
      </c>
      <c r="F31" s="20">
        <f>ROUND(0.000669792364366817,4)</f>
        <v>6.9999999999999999E-4</v>
      </c>
      <c r="G31" s="21">
        <f>ROUND(-0.000323393685432327,4)</f>
        <v>-2.9999999999999997E-4</v>
      </c>
      <c r="H31" s="19">
        <f>ROUND(0.00171459275081531,4)</f>
        <v>1.6999999999999999E-3</v>
      </c>
      <c r="I31" s="20">
        <f>ROUND(0.00202542665591166,4)</f>
        <v>2E-3</v>
      </c>
      <c r="J31" s="21">
        <f>ROUND(-0.000310833905096349,4)</f>
        <v>-2.9999999999999997E-4</v>
      </c>
      <c r="K31" s="19">
        <f>ROUND(0.0121374111851146,4)</f>
        <v>1.21E-2</v>
      </c>
      <c r="L31" s="20">
        <f>ROUND(0.00567537698741582,4)</f>
        <v>5.7000000000000002E-3</v>
      </c>
      <c r="M31" s="21">
        <f>ROUND(0.00646203419769887,4)</f>
        <v>6.4999999999999997E-3</v>
      </c>
      <c r="N31" s="22">
        <f>ROUND(0.0018056152639686,3)</f>
        <v>2E-3</v>
      </c>
      <c r="O31" s="23">
        <f>ROUND(1277381.38,0)</f>
        <v>1277381</v>
      </c>
    </row>
    <row r="32" spans="1:15" hidden="1">
      <c r="A32" s="24" t="s">
        <v>37</v>
      </c>
      <c r="B32" s="24"/>
      <c r="C32" s="30"/>
      <c r="D32" s="30"/>
      <c r="E32" s="24"/>
      <c r="F32" s="30"/>
      <c r="G32" s="31"/>
      <c r="H32" s="24"/>
      <c r="I32" s="30"/>
      <c r="J32" s="31"/>
      <c r="K32" s="24"/>
      <c r="L32" s="30"/>
      <c r="M32" s="31"/>
      <c r="N32" s="28">
        <f>ROUND(8.15129710882375E-06,3)</f>
        <v>0</v>
      </c>
      <c r="O32" s="29">
        <f>ROUND(5766.63,0)</f>
        <v>5767</v>
      </c>
    </row>
    <row r="33" spans="1:15">
      <c r="A33" s="32" t="s">
        <v>38</v>
      </c>
      <c r="B33" s="33">
        <f>ROUND(0.000130116122304624,4)</f>
        <v>1E-4</v>
      </c>
      <c r="C33" s="34"/>
      <c r="D33" s="34"/>
      <c r="E33" s="33">
        <f>ROUND(0.00243666869231274,4)</f>
        <v>2.3999999999999998E-3</v>
      </c>
      <c r="F33" s="34"/>
      <c r="G33" s="35"/>
      <c r="H33" s="33">
        <f>ROUND(0.0105772325099576,4)</f>
        <v>1.06E-2</v>
      </c>
      <c r="I33" s="36">
        <f>ROUND(0.00812077489628105,4)</f>
        <v>8.0999999999999996E-3</v>
      </c>
      <c r="J33" s="37">
        <f>ROUND(0.00245645761367654,4)</f>
        <v>2.5000000000000001E-3</v>
      </c>
      <c r="K33" s="33">
        <f>ROUND(0.0473396567402702,4)</f>
        <v>4.7300000000000002E-2</v>
      </c>
      <c r="L33" s="36">
        <f>ROUND(0.044793841366503,4)</f>
        <v>4.48E-2</v>
      </c>
      <c r="M33" s="37">
        <f>ROUND(0.0025458153737672,4)</f>
        <v>2.5000000000000001E-3</v>
      </c>
      <c r="N33" s="38">
        <f>ROUND(0.026853626506491,3)</f>
        <v>2.7E-2</v>
      </c>
      <c r="O33" s="39">
        <f>ROUND(18997581.14,0)</f>
        <v>18997581</v>
      </c>
    </row>
    <row r="34" spans="1:15">
      <c r="A34" s="12" t="s">
        <v>39</v>
      </c>
      <c r="B34" s="13">
        <f>ROUND(-0.00563795006126766,4)</f>
        <v>-5.5999999999999999E-3</v>
      </c>
      <c r="C34" s="14">
        <f>ROUND(-0.0109648178601027,4)</f>
        <v>-1.0999999999999999E-2</v>
      </c>
      <c r="D34" s="14">
        <f>ROUND(0.00532686779883504,4)</f>
        <v>5.3E-3</v>
      </c>
      <c r="E34" s="13">
        <f>ROUND(-0.0117779519274709,4)</f>
        <v>-1.18E-2</v>
      </c>
      <c r="F34" s="14">
        <f>ROUND(-0.0590613698425029,4)</f>
        <v>-5.91E-2</v>
      </c>
      <c r="G34" s="15">
        <f>ROUND(0.047283417915032,4)</f>
        <v>4.7300000000000002E-2</v>
      </c>
      <c r="H34" s="13">
        <f>ROUND(0.00825327862270764,4)</f>
        <v>8.3000000000000001E-3</v>
      </c>
      <c r="I34" s="14">
        <f>ROUND(-0.0669395089098884,4)</f>
        <v>-6.6900000000000001E-2</v>
      </c>
      <c r="J34" s="15">
        <f>ROUND(0.075192787532596,4)</f>
        <v>7.5200000000000003E-2</v>
      </c>
      <c r="K34" s="13">
        <f>ROUND(0.0487573775132095,4)</f>
        <v>4.8800000000000003E-2</v>
      </c>
      <c r="L34" s="14">
        <f>ROUND(-0.0355437529391974,4)</f>
        <v>-3.5499999999999997E-2</v>
      </c>
      <c r="M34" s="15">
        <f>ROUND(0.0843011304524068,4)</f>
        <v>8.43E-2</v>
      </c>
      <c r="N34" s="16">
        <f>ROUND(0.188992832745283,3)</f>
        <v>0.189</v>
      </c>
      <c r="O34" s="17">
        <f>ROUND(133702860.36,0)</f>
        <v>133702860</v>
      </c>
    </row>
    <row r="35" spans="1:15" hidden="1">
      <c r="A35" s="18" t="s">
        <v>40</v>
      </c>
      <c r="B35" s="19">
        <f>ROUND(-0.00579589890470156,4)</f>
        <v>-5.7999999999999996E-3</v>
      </c>
      <c r="C35" s="40"/>
      <c r="D35" s="40"/>
      <c r="E35" s="19">
        <f>ROUND(0.0272024948145178,4)</f>
        <v>2.7199999999999998E-2</v>
      </c>
      <c r="F35" s="40"/>
      <c r="G35" s="41"/>
      <c r="H35" s="19">
        <f>ROUND(0.0429232295970372,4)</f>
        <v>4.2900000000000001E-2</v>
      </c>
      <c r="I35" s="40"/>
      <c r="J35" s="41"/>
      <c r="K35" s="19">
        <f>ROUND(-0.0958792779708205,4)</f>
        <v>-9.5899999999999999E-2</v>
      </c>
      <c r="L35" s="40"/>
      <c r="M35" s="41"/>
      <c r="N35" s="22">
        <f>ROUND(0.000631706662393104,3)</f>
        <v>1E-3</v>
      </c>
      <c r="O35" s="23">
        <f>ROUND(446900.48,0)</f>
        <v>446900</v>
      </c>
    </row>
    <row r="36" spans="1:15" hidden="1">
      <c r="A36" s="24" t="s">
        <v>41</v>
      </c>
      <c r="B36" s="25">
        <f>ROUND(-0.00579591110222033,4)</f>
        <v>-5.7999999999999996E-3</v>
      </c>
      <c r="C36" s="30"/>
      <c r="D36" s="30"/>
      <c r="E36" s="25">
        <f>ROUND(0.00194749651659154,4)</f>
        <v>1.9E-3</v>
      </c>
      <c r="F36" s="30"/>
      <c r="G36" s="31"/>
      <c r="H36" s="25">
        <f>ROUND(0.0214231783521539,4)</f>
        <v>2.1399999999999999E-2</v>
      </c>
      <c r="I36" s="30"/>
      <c r="J36" s="31"/>
      <c r="K36" s="25">
        <f>ROUND(-0.0804599697561792,4)</f>
        <v>-8.0500000000000002E-2</v>
      </c>
      <c r="L36" s="30"/>
      <c r="M36" s="31"/>
      <c r="N36" s="28">
        <f>ROUND(0.00308549943529572,3)</f>
        <v>3.0000000000000001E-3</v>
      </c>
      <c r="O36" s="29">
        <f>ROUND(2182834.63,0)</f>
        <v>2182835</v>
      </c>
    </row>
    <row r="37" spans="1:15" hidden="1">
      <c r="A37" s="18" t="s">
        <v>42</v>
      </c>
      <c r="B37" s="19">
        <f>ROUND(-0.00579591403130597,4)</f>
        <v>-5.7999999999999996E-3</v>
      </c>
      <c r="C37" s="40"/>
      <c r="D37" s="40"/>
      <c r="E37" s="19">
        <f>ROUND(-0.0542542601552159,4)</f>
        <v>-5.4300000000000001E-2</v>
      </c>
      <c r="F37" s="40"/>
      <c r="G37" s="41"/>
      <c r="H37" s="19">
        <f>ROUND(-0.0358710138758658,4)</f>
        <v>-3.5900000000000001E-2</v>
      </c>
      <c r="I37" s="40"/>
      <c r="J37" s="41"/>
      <c r="K37" s="19">
        <f>ROUND(-0.0944039860847475,4)</f>
        <v>-9.4399999999999998E-2</v>
      </c>
      <c r="L37" s="40"/>
      <c r="M37" s="41"/>
      <c r="N37" s="22">
        <f>ROUND(0.00249177823328988,3)</f>
        <v>2E-3</v>
      </c>
      <c r="O37" s="23">
        <f>ROUND(1762806.94,0)</f>
        <v>1762807</v>
      </c>
    </row>
    <row r="38" spans="1:15" hidden="1">
      <c r="A38" s="24" t="s">
        <v>43</v>
      </c>
      <c r="B38" s="25">
        <f>ROUND(-0.00579591167208238,4)</f>
        <v>-5.7999999999999996E-3</v>
      </c>
      <c r="C38" s="30"/>
      <c r="D38" s="30"/>
      <c r="E38" s="25">
        <f>ROUND(-0.0206889872665583,4)</f>
        <v>-2.07E-2</v>
      </c>
      <c r="F38" s="30"/>
      <c r="G38" s="31"/>
      <c r="H38" s="25">
        <f>ROUND(-0.00353195704049335,4)</f>
        <v>-3.5000000000000001E-3</v>
      </c>
      <c r="I38" s="30"/>
      <c r="J38" s="31"/>
      <c r="K38" s="25">
        <f>ROUND(0.0509070188589169,4)</f>
        <v>5.0900000000000001E-2</v>
      </c>
      <c r="L38" s="30"/>
      <c r="M38" s="31"/>
      <c r="N38" s="28">
        <f>ROUND(0.010245518906081,3)</f>
        <v>0.01</v>
      </c>
      <c r="O38" s="29">
        <f>ROUND(7248185.89,0)</f>
        <v>7248186</v>
      </c>
    </row>
    <row r="39" spans="1:15" hidden="1">
      <c r="A39" s="18" t="s">
        <v>44</v>
      </c>
      <c r="B39" s="19">
        <f>ROUND(-0.00579591025021363,4)</f>
        <v>-5.7999999999999996E-3</v>
      </c>
      <c r="C39" s="40"/>
      <c r="D39" s="40"/>
      <c r="E39" s="19">
        <f>ROUND(-0.0258393045254309,4)</f>
        <v>-2.58E-2</v>
      </c>
      <c r="F39" s="40"/>
      <c r="G39" s="41"/>
      <c r="H39" s="19">
        <f>ROUND(-0.00690373454054216,4)</f>
        <v>-6.8999999999999999E-3</v>
      </c>
      <c r="I39" s="40"/>
      <c r="J39" s="41"/>
      <c r="K39" s="19">
        <f>ROUND(-0.00748706071936345,4)</f>
        <v>-7.4999999999999997E-3</v>
      </c>
      <c r="L39" s="40"/>
      <c r="M39" s="41"/>
      <c r="N39" s="22">
        <f>ROUND(0.0138162213464443,3)</f>
        <v>1.4E-2</v>
      </c>
      <c r="O39" s="23">
        <f>ROUND(9774277.08,0)</f>
        <v>9774277</v>
      </c>
    </row>
    <row r="40" spans="1:15" hidden="1">
      <c r="A40" s="24" t="s">
        <v>45</v>
      </c>
      <c r="B40" s="25">
        <f>ROUND(-0.00579590965176679,4)</f>
        <v>-5.7999999999999996E-3</v>
      </c>
      <c r="C40" s="30"/>
      <c r="D40" s="30"/>
      <c r="E40" s="25">
        <f>ROUND(-0.0150782686068224,4)</f>
        <v>-1.5100000000000001E-2</v>
      </c>
      <c r="F40" s="30"/>
      <c r="G40" s="31"/>
      <c r="H40" s="25">
        <f>ROUND(0.00322659862566987,4)</f>
        <v>3.2000000000000002E-3</v>
      </c>
      <c r="I40" s="30"/>
      <c r="J40" s="31"/>
      <c r="K40" s="25">
        <f>ROUND(0.0763461029832631,4)</f>
        <v>7.6300000000000007E-2</v>
      </c>
      <c r="L40" s="30"/>
      <c r="M40" s="31"/>
      <c r="N40" s="28">
        <f>ROUND(0.00981232988475279,3)</f>
        <v>0.01</v>
      </c>
      <c r="O40" s="29">
        <f>ROUND(6941726.59,0)</f>
        <v>6941727</v>
      </c>
    </row>
    <row r="41" spans="1:15" hidden="1">
      <c r="A41" s="18" t="s">
        <v>46</v>
      </c>
      <c r="B41" s="19">
        <f>ROUND(-0.00579591374367161,4)</f>
        <v>-5.7999999999999996E-3</v>
      </c>
      <c r="C41" s="40"/>
      <c r="D41" s="40"/>
      <c r="E41" s="19">
        <f>ROUND(-0.00211162501436213,4)</f>
        <v>-2.0999999999999999E-3</v>
      </c>
      <c r="F41" s="40"/>
      <c r="G41" s="41"/>
      <c r="H41" s="19">
        <f>ROUND(0.0172851604937705,4)</f>
        <v>1.7299999999999999E-2</v>
      </c>
      <c r="I41" s="40"/>
      <c r="J41" s="41"/>
      <c r="K41" s="19">
        <f>ROUND(0.124652488211565,4)</f>
        <v>0.12470000000000001</v>
      </c>
      <c r="L41" s="40"/>
      <c r="M41" s="41"/>
      <c r="N41" s="22">
        <f>ROUND(0.0312272785634828,3)</f>
        <v>3.1E-2</v>
      </c>
      <c r="O41" s="23">
        <f>ROUND(22091718.53,0)</f>
        <v>22091719</v>
      </c>
    </row>
    <row r="42" spans="1:15" hidden="1">
      <c r="A42" s="24" t="s">
        <v>47</v>
      </c>
      <c r="B42" s="25">
        <f>ROUND(-0.00579590987335754,4)</f>
        <v>-5.7999999999999996E-3</v>
      </c>
      <c r="C42" s="30"/>
      <c r="D42" s="30"/>
      <c r="E42" s="25">
        <f>ROUND(-0.238013825772473,4)</f>
        <v>-0.23799999999999999</v>
      </c>
      <c r="F42" s="30"/>
      <c r="G42" s="31"/>
      <c r="H42" s="25">
        <f>ROUND(-0.223202469458122,4)</f>
        <v>-0.22320000000000001</v>
      </c>
      <c r="I42" s="30"/>
      <c r="J42" s="31"/>
      <c r="K42" s="25">
        <f>ROUND(-0.470163295146796,4)</f>
        <v>-0.47020000000000001</v>
      </c>
      <c r="L42" s="30"/>
      <c r="M42" s="31"/>
      <c r="N42" s="28">
        <f>ROUND(0.00545717003450338,3)</f>
        <v>5.0000000000000001E-3</v>
      </c>
      <c r="O42" s="29">
        <f>ROUND(3860671.5,0)</f>
        <v>3860672</v>
      </c>
    </row>
    <row r="43" spans="1:15" hidden="1">
      <c r="A43" s="18" t="s">
        <v>48</v>
      </c>
      <c r="B43" s="19">
        <f>ROUND(-0.00579591312631078,4)</f>
        <v>-5.7999999999999996E-3</v>
      </c>
      <c r="C43" s="40"/>
      <c r="D43" s="40"/>
      <c r="E43" s="19">
        <f>ROUND(-0.0353416846810357,4)</f>
        <v>-3.5299999999999998E-2</v>
      </c>
      <c r="F43" s="40"/>
      <c r="G43" s="41"/>
      <c r="H43" s="19">
        <f>ROUND(-0.0165908278194606,4)</f>
        <v>-1.66E-2</v>
      </c>
      <c r="I43" s="40"/>
      <c r="J43" s="41"/>
      <c r="K43" s="19">
        <f>ROUND(-0.154918560452895,4)</f>
        <v>-0.15490000000000001</v>
      </c>
      <c r="L43" s="40"/>
      <c r="M43" s="41"/>
      <c r="N43" s="22">
        <f>ROUND(0.00802999850612051,3)</f>
        <v>8.0000000000000002E-3</v>
      </c>
      <c r="O43" s="23">
        <f>ROUND(5680817.38,0)</f>
        <v>5680817</v>
      </c>
    </row>
    <row r="44" spans="1:15" hidden="1">
      <c r="A44" s="24" t="s">
        <v>49</v>
      </c>
      <c r="B44" s="25">
        <f>ROUND(-0.00579590775786176,4)</f>
        <v>-5.7999999999999996E-3</v>
      </c>
      <c r="C44" s="30"/>
      <c r="D44" s="30"/>
      <c r="E44" s="25">
        <f>ROUND(0.0190078134028668,4)</f>
        <v>1.9E-2</v>
      </c>
      <c r="F44" s="30"/>
      <c r="G44" s="31"/>
      <c r="H44" s="25">
        <f>ROUND(0.0388151173415143,4)</f>
        <v>3.8800000000000001E-2</v>
      </c>
      <c r="I44" s="30"/>
      <c r="J44" s="31"/>
      <c r="K44" s="25">
        <f>ROUND(0.0786795364236286,4)</f>
        <v>7.8700000000000006E-2</v>
      </c>
      <c r="L44" s="30"/>
      <c r="M44" s="31"/>
      <c r="N44" s="28">
        <f>ROUND(0.0114926917329661,3)</f>
        <v>1.0999999999999999E-2</v>
      </c>
      <c r="O44" s="29">
        <f>ROUND(8130497.52,0)</f>
        <v>8130498</v>
      </c>
    </row>
    <row r="45" spans="1:15" hidden="1">
      <c r="A45" s="18" t="s">
        <v>50</v>
      </c>
      <c r="B45" s="19">
        <f>ROUND(0,4)</f>
        <v>0</v>
      </c>
      <c r="C45" s="40"/>
      <c r="D45" s="40"/>
      <c r="E45" s="19">
        <f>ROUND(0,4)</f>
        <v>0</v>
      </c>
      <c r="F45" s="40"/>
      <c r="G45" s="41"/>
      <c r="H45" s="19">
        <f>ROUND(0,4)</f>
        <v>0</v>
      </c>
      <c r="I45" s="40"/>
      <c r="J45" s="41"/>
      <c r="K45" s="19">
        <f>ROUND(-0.103415490090119,4)</f>
        <v>-0.10340000000000001</v>
      </c>
      <c r="L45" s="40"/>
      <c r="M45" s="41"/>
      <c r="N45" s="22">
        <f>ROUND(0.00195602690413971,3)</f>
        <v>2E-3</v>
      </c>
      <c r="O45" s="23">
        <f>ROUND(1383790,0)</f>
        <v>1383790</v>
      </c>
    </row>
    <row r="46" spans="1:15" hidden="1">
      <c r="A46" s="24" t="s">
        <v>51</v>
      </c>
      <c r="B46" s="25">
        <f>ROUND(-0.00579591296995896,4)</f>
        <v>-5.7999999999999996E-3</v>
      </c>
      <c r="C46" s="30"/>
      <c r="D46" s="30"/>
      <c r="E46" s="25">
        <f>ROUND(0.0364652646873251,4)</f>
        <v>3.6499999999999998E-2</v>
      </c>
      <c r="F46" s="30"/>
      <c r="G46" s="31"/>
      <c r="H46" s="25">
        <f>ROUND(0.0576904625144567,4)</f>
        <v>5.7700000000000001E-2</v>
      </c>
      <c r="I46" s="30"/>
      <c r="J46" s="31"/>
      <c r="K46" s="25">
        <f>ROUND(0.19121636307572,4)</f>
        <v>0.19120000000000001</v>
      </c>
      <c r="L46" s="30"/>
      <c r="M46" s="31"/>
      <c r="N46" s="28">
        <f>ROUND(0.0368763068084214,3)</f>
        <v>3.6999999999999998E-2</v>
      </c>
      <c r="O46" s="29">
        <f>ROUND(26088120,0)</f>
        <v>26088120</v>
      </c>
    </row>
    <row r="47" spans="1:15" hidden="1">
      <c r="A47" s="18" t="s">
        <v>52</v>
      </c>
      <c r="B47" s="19">
        <f>ROUND(-0.00579591065288743,4)</f>
        <v>-5.7999999999999996E-3</v>
      </c>
      <c r="C47" s="40"/>
      <c r="D47" s="40"/>
      <c r="E47" s="19">
        <f>ROUND(-0.00908210403199738,4)</f>
        <v>-9.1000000000000004E-3</v>
      </c>
      <c r="F47" s="40"/>
      <c r="G47" s="41"/>
      <c r="H47" s="19">
        <f>ROUND(0.0154745672432336,4)</f>
        <v>1.55E-2</v>
      </c>
      <c r="I47" s="40"/>
      <c r="J47" s="41"/>
      <c r="K47" s="19">
        <f>ROUND(0.0712585746696286,4)</f>
        <v>7.1300000000000002E-2</v>
      </c>
      <c r="L47" s="40"/>
      <c r="M47" s="41"/>
      <c r="N47" s="22">
        <f>ROUND(0.0222412839971684,3)</f>
        <v>2.1999999999999999E-2</v>
      </c>
      <c r="O47" s="23">
        <f>ROUND(15734582.34,0)</f>
        <v>15734582</v>
      </c>
    </row>
    <row r="48" spans="1:15" hidden="1">
      <c r="A48" s="24" t="s">
        <v>53</v>
      </c>
      <c r="B48" s="25">
        <f>ROUND(-0.00579590597380342,4)</f>
        <v>-5.7999999999999996E-3</v>
      </c>
      <c r="C48" s="30"/>
      <c r="D48" s="30"/>
      <c r="E48" s="25">
        <f>ROUND(-0.0120593342062109,4)</f>
        <v>-1.21E-2</v>
      </c>
      <c r="F48" s="30"/>
      <c r="G48" s="31"/>
      <c r="H48" s="25">
        <f>ROUND(0.0180567314350861,4)</f>
        <v>1.8100000000000002E-2</v>
      </c>
      <c r="I48" s="30"/>
      <c r="J48" s="31"/>
      <c r="K48" s="25">
        <f>ROUND(0.067865149266424,4)</f>
        <v>6.7900000000000002E-2</v>
      </c>
      <c r="L48" s="30"/>
      <c r="M48" s="31"/>
      <c r="N48" s="28">
        <f>ROUND(0.018559822012191,3)</f>
        <v>1.9E-2</v>
      </c>
      <c r="O48" s="29">
        <f>ROUND(13130134.38,0)</f>
        <v>13130134</v>
      </c>
    </row>
    <row r="49" spans="1:15" hidden="1">
      <c r="A49" s="18" t="s">
        <v>54</v>
      </c>
      <c r="B49" s="19">
        <f>ROUND(-0.00579590243694317,4)</f>
        <v>-5.7999999999999996E-3</v>
      </c>
      <c r="C49" s="40"/>
      <c r="D49" s="40"/>
      <c r="E49" s="19">
        <f>ROUND(-0.00895670983262598,4)</f>
        <v>-8.9999999999999993E-3</v>
      </c>
      <c r="F49" s="40"/>
      <c r="G49" s="41"/>
      <c r="H49" s="19">
        <f>ROUND(0.0103070236379399,4)</f>
        <v>1.03E-2</v>
      </c>
      <c r="I49" s="40"/>
      <c r="J49" s="41"/>
      <c r="K49" s="19">
        <f>ROUND(0.0141622644531165,4)</f>
        <v>1.4200000000000001E-2</v>
      </c>
      <c r="L49" s="40"/>
      <c r="M49" s="41"/>
      <c r="N49" s="22">
        <f>ROUND(0.00689304200476326,3)</f>
        <v>7.0000000000000001E-3</v>
      </c>
      <c r="O49" s="23">
        <f>ROUND(4876478.22,0)</f>
        <v>4876478</v>
      </c>
    </row>
    <row r="50" spans="1:15" hidden="1">
      <c r="A50" s="24" t="s">
        <v>55</v>
      </c>
      <c r="B50" s="25">
        <f>ROUND(-0.00579591257149426,4)</f>
        <v>-5.7999999999999996E-3</v>
      </c>
      <c r="C50" s="30"/>
      <c r="D50" s="30"/>
      <c r="E50" s="25">
        <f>ROUND(-0.0996172941121372,4)</f>
        <v>-9.9599999999999994E-2</v>
      </c>
      <c r="F50" s="30"/>
      <c r="G50" s="31"/>
      <c r="H50" s="25">
        <f>ROUND(-0.0821158125611244,4)</f>
        <v>-8.2100000000000006E-2</v>
      </c>
      <c r="I50" s="30"/>
      <c r="J50" s="31"/>
      <c r="K50" s="25">
        <f>ROUND(-0.071878988,4)</f>
        <v>-7.1900000000000006E-2</v>
      </c>
      <c r="L50" s="30"/>
      <c r="M50" s="31"/>
      <c r="N50" s="28">
        <f>ROUND(0.00327981425969508,3)</f>
        <v>3.0000000000000001E-3</v>
      </c>
      <c r="O50" s="29">
        <f>ROUND(2320302.53,0)</f>
        <v>2320303</v>
      </c>
    </row>
    <row r="51" spans="1:15" hidden="1">
      <c r="A51" s="18" t="s">
        <v>56</v>
      </c>
      <c r="B51" s="19">
        <f>ROUND(0.000656269054710945,4)</f>
        <v>6.9999999999999999E-4</v>
      </c>
      <c r="C51" s="40"/>
      <c r="D51" s="40"/>
      <c r="E51" s="19">
        <f>ROUND(0.0174520069894224,4)</f>
        <v>1.7500000000000002E-2</v>
      </c>
      <c r="F51" s="40"/>
      <c r="G51" s="41"/>
      <c r="H51" s="19">
        <f>ROUND(0.0485056871515207,4)</f>
        <v>4.8500000000000001E-2</v>
      </c>
      <c r="I51" s="40"/>
      <c r="J51" s="41"/>
      <c r="K51" s="19">
        <f>ROUND(0.0485056871515207,4)</f>
        <v>4.8500000000000001E-2</v>
      </c>
      <c r="L51" s="40"/>
      <c r="M51" s="41"/>
      <c r="N51" s="22">
        <f>ROUND(0.00291202516943844,3)</f>
        <v>3.0000000000000001E-3</v>
      </c>
      <c r="O51" s="23">
        <f>ROUND(2060110.37,0)</f>
        <v>2060110</v>
      </c>
    </row>
    <row r="52" spans="1:15" hidden="1">
      <c r="A52" s="24" t="s">
        <v>57</v>
      </c>
      <c r="B52" s="24"/>
      <c r="C52" s="30"/>
      <c r="D52" s="30"/>
      <c r="E52" s="24"/>
      <c r="F52" s="30"/>
      <c r="G52" s="31"/>
      <c r="H52" s="24"/>
      <c r="I52" s="30"/>
      <c r="J52" s="31"/>
      <c r="K52" s="24"/>
      <c r="L52" s="30"/>
      <c r="M52" s="31"/>
      <c r="N52" s="28">
        <f>ROUND(-0.000015681715863725,3)</f>
        <v>0</v>
      </c>
      <c r="O52" s="29">
        <f>ROUND(-11094.02,0)</f>
        <v>-11094</v>
      </c>
    </row>
    <row r="53" spans="1:15">
      <c r="A53" s="32" t="s">
        <v>58</v>
      </c>
      <c r="B53" s="33">
        <f>ROUND(0,4)</f>
        <v>0</v>
      </c>
      <c r="C53" s="34"/>
      <c r="D53" s="34"/>
      <c r="E53" s="33">
        <f>ROUND(0,4)</f>
        <v>0</v>
      </c>
      <c r="F53" s="34"/>
      <c r="G53" s="35"/>
      <c r="H53" s="33">
        <f>ROUND(0.00595483945493269,4)</f>
        <v>6.0000000000000001E-3</v>
      </c>
      <c r="I53" s="36">
        <f>ROUND(0.00710492196768553,4)</f>
        <v>7.1000000000000004E-3</v>
      </c>
      <c r="J53" s="37">
        <f>ROUND(-0.00115008251275284,4)</f>
        <v>-1.1999999999999999E-3</v>
      </c>
      <c r="K53" s="33">
        <f>ROUND(0.0479767403751865,4)</f>
        <v>4.8000000000000001E-2</v>
      </c>
      <c r="L53" s="36">
        <f>ROUND(0.0520453835927122,4)</f>
        <v>5.1999999999999998E-2</v>
      </c>
      <c r="M53" s="37">
        <f>ROUND(-0.00406864321752569,4)</f>
        <v>-4.1000000000000003E-3</v>
      </c>
      <c r="N53" s="38">
        <f>ROUND(0.185809182738375,3)</f>
        <v>0.186</v>
      </c>
      <c r="O53" s="39">
        <f>ROUND(131450589.17,0)</f>
        <v>131450589</v>
      </c>
    </row>
    <row r="54" spans="1:15" hidden="1">
      <c r="A54" s="24" t="s">
        <v>59</v>
      </c>
      <c r="B54" s="25">
        <f>ROUND(0,4)</f>
        <v>0</v>
      </c>
      <c r="C54" s="30"/>
      <c r="D54" s="30"/>
      <c r="E54" s="25">
        <f>ROUND(0,4)</f>
        <v>0</v>
      </c>
      <c r="F54" s="30"/>
      <c r="G54" s="31"/>
      <c r="H54" s="25">
        <f>ROUND(0.00595483945493269,4)</f>
        <v>6.0000000000000001E-3</v>
      </c>
      <c r="I54" s="26">
        <f>ROUND(0.00710492196768553,4)</f>
        <v>7.1000000000000004E-3</v>
      </c>
      <c r="J54" s="27">
        <f>ROUND(-0.00115008251275284,4)</f>
        <v>-1.1999999999999999E-3</v>
      </c>
      <c r="K54" s="25">
        <f>ROUND(0.0479767403751865,4)</f>
        <v>4.8000000000000001E-2</v>
      </c>
      <c r="L54" s="26">
        <f>ROUND(0.0520453835927122,4)</f>
        <v>5.1999999999999998E-2</v>
      </c>
      <c r="M54" s="27">
        <f>ROUND(-0.00406864321752569,4)</f>
        <v>-4.1000000000000003E-3</v>
      </c>
      <c r="N54" s="28">
        <f>ROUND(0.185809182738375,3)</f>
        <v>0.186</v>
      </c>
      <c r="O54" s="29">
        <f>ROUND(131450589.17,0)</f>
        <v>131450589</v>
      </c>
    </row>
    <row r="55" spans="1:15">
      <c r="A55" s="32" t="s">
        <v>60</v>
      </c>
      <c r="B55" s="33">
        <f>ROUND(0,4)</f>
        <v>0</v>
      </c>
      <c r="C55" s="36">
        <f>ROUND(-5.79258820998518E-06,4)</f>
        <v>0</v>
      </c>
      <c r="D55" s="36">
        <f>ROUND(5.79258820998518E-06,4)</f>
        <v>0</v>
      </c>
      <c r="E55" s="33">
        <f>ROUND(0.0578185715217451,4)</f>
        <v>5.7799999999999997E-2</v>
      </c>
      <c r="F55" s="36">
        <f>ROUND(0.000669513000000954,4)</f>
        <v>6.9999999999999999E-4</v>
      </c>
      <c r="G55" s="37">
        <f>ROUND(0.0571490585217442,4)</f>
        <v>5.7099999999999998E-2</v>
      </c>
      <c r="H55" s="33">
        <f>ROUND(-0.0076052795728655,4)</f>
        <v>-7.6E-3</v>
      </c>
      <c r="I55" s="36">
        <f>ROUND(0.00202577224176759,4)</f>
        <v>2E-3</v>
      </c>
      <c r="J55" s="37">
        <f>ROUND(-0.00963105181463309,4)</f>
        <v>-9.5999999999999992E-3</v>
      </c>
      <c r="K55" s="112">
        <f>ROUND(-0.0143667080894411,4)</f>
        <v>-1.44E-2</v>
      </c>
      <c r="L55" s="36">
        <f>ROUND(0.00567417228291656,4)</f>
        <v>5.7000000000000002E-3</v>
      </c>
      <c r="M55" s="37">
        <f>ROUND(-0.0200408803723576,4)</f>
        <v>-0.02</v>
      </c>
      <c r="N55" s="38">
        <f>ROUND(0.0478321156683636,3)</f>
        <v>4.8000000000000001E-2</v>
      </c>
      <c r="O55" s="39">
        <f>ROUND(33838800.07,0)</f>
        <v>33838800</v>
      </c>
    </row>
    <row r="56" spans="1:15" hidden="1">
      <c r="A56" s="24" t="s">
        <v>61</v>
      </c>
      <c r="B56" s="25">
        <f>ROUND(0,4)</f>
        <v>0</v>
      </c>
      <c r="C56" s="30"/>
      <c r="D56" s="30"/>
      <c r="E56" s="25">
        <f>ROUND(0.0578185715217451,4)</f>
        <v>5.7799999999999997E-2</v>
      </c>
      <c r="F56" s="30"/>
      <c r="G56" s="31"/>
      <c r="H56" s="25">
        <f>ROUND(-0.00760527957286539,4)</f>
        <v>-7.6E-3</v>
      </c>
      <c r="I56" s="30"/>
      <c r="J56" s="31"/>
      <c r="K56" s="25">
        <f>ROUND(-0.0143667080894408,4)</f>
        <v>-1.44E-2</v>
      </c>
      <c r="L56" s="30"/>
      <c r="M56" s="31"/>
      <c r="N56" s="28">
        <f>ROUND(0.0478321156683636,3)</f>
        <v>4.8000000000000001E-2</v>
      </c>
      <c r="O56" s="29">
        <f>ROUND(33838800.07,0)</f>
        <v>33838800</v>
      </c>
    </row>
    <row r="57" spans="1:15">
      <c r="A57" s="42"/>
      <c r="B57" s="42"/>
      <c r="C57" s="42"/>
      <c r="D57" s="42"/>
      <c r="E57" s="42"/>
      <c r="F57" s="42"/>
      <c r="G57" s="42"/>
      <c r="H57" s="42"/>
      <c r="I57" s="42"/>
      <c r="J57" s="43"/>
      <c r="K57" s="42"/>
      <c r="L57" s="42"/>
      <c r="M57" s="42"/>
      <c r="N57" s="42"/>
      <c r="O57" s="42"/>
    </row>
    <row r="58" spans="1:15">
      <c r="A58" s="44"/>
      <c r="B58" s="82"/>
      <c r="C58" s="83"/>
      <c r="D58" s="84"/>
      <c r="E58" s="82"/>
      <c r="F58" s="83"/>
      <c r="G58" s="83"/>
      <c r="H58" s="83"/>
      <c r="I58" s="83"/>
      <c r="J58" s="83"/>
      <c r="K58" s="83"/>
      <c r="L58" s="83"/>
      <c r="M58" s="84"/>
    </row>
    <row r="59" spans="1:15">
      <c r="A59" s="44"/>
      <c r="B59" s="82"/>
      <c r="C59" s="83"/>
      <c r="D59" s="84"/>
      <c r="E59" s="82"/>
      <c r="F59" s="83"/>
      <c r="G59" s="83"/>
      <c r="H59" s="83"/>
      <c r="I59" s="83"/>
      <c r="J59" s="83"/>
      <c r="K59" s="83"/>
      <c r="L59" s="83"/>
      <c r="M59" s="84"/>
    </row>
    <row r="60" spans="1:15">
      <c r="A60" s="45" t="s">
        <v>62</v>
      </c>
      <c r="B60" s="85" t="s">
        <v>63</v>
      </c>
      <c r="C60" s="86"/>
      <c r="D60" s="87"/>
      <c r="E60" s="88" t="s">
        <v>64</v>
      </c>
      <c r="F60" s="89"/>
      <c r="G60" s="89"/>
      <c r="H60" s="89"/>
      <c r="I60" s="89"/>
      <c r="J60" s="89"/>
      <c r="K60" s="89"/>
      <c r="L60" s="89"/>
      <c r="M60" s="90"/>
    </row>
    <row r="61" spans="1:15" ht="288" customHeight="1">
      <c r="A61" s="46"/>
      <c r="B61" s="47"/>
      <c r="C61" s="48"/>
      <c r="D61" s="49"/>
      <c r="E61" s="50"/>
      <c r="F61" s="51"/>
      <c r="G61" s="51"/>
      <c r="H61" s="51"/>
      <c r="I61" s="51"/>
      <c r="J61" s="51"/>
      <c r="K61" s="51"/>
      <c r="L61" s="51"/>
      <c r="M61" s="52"/>
    </row>
  </sheetData>
  <mergeCells count="24">
    <mergeCell ref="B58:D58"/>
    <mergeCell ref="E58:M58"/>
    <mergeCell ref="B59:D59"/>
    <mergeCell ref="E59:M59"/>
    <mergeCell ref="B60:D60"/>
    <mergeCell ref="E60:M60"/>
    <mergeCell ref="B5:D5"/>
    <mergeCell ref="E5:G5"/>
    <mergeCell ref="H5:J5"/>
    <mergeCell ref="K5:M5"/>
    <mergeCell ref="N5:O5"/>
    <mergeCell ref="N1:O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ageMargins left="0.25" right="0.25" top="0.9" bottom="0.95" header="0.25" footer="0.2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7"/>
  <sheetViews>
    <sheetView workbookViewId="0"/>
  </sheetViews>
  <sheetFormatPr baseColWidth="10" defaultColWidth="9.140625" defaultRowHeight="15"/>
  <cols>
    <col min="1" max="1" width="54.85546875" customWidth="1"/>
    <col min="2" max="5" width="13.7109375" customWidth="1"/>
    <col min="6" max="7" width="27.42578125" customWidth="1"/>
  </cols>
  <sheetData>
    <row r="1" spans="1:7" ht="36" customHeight="1">
      <c r="A1" s="53" t="s">
        <v>0</v>
      </c>
      <c r="B1" s="2"/>
      <c r="C1" s="2"/>
      <c r="D1" s="2"/>
      <c r="E1" s="91"/>
      <c r="F1" s="92"/>
      <c r="G1" s="54"/>
    </row>
    <row r="2" spans="1:7" ht="24" customHeight="1">
      <c r="A2" s="4" t="s">
        <v>1</v>
      </c>
      <c r="B2" s="97"/>
      <c r="C2" s="97"/>
      <c r="D2" s="97"/>
      <c r="E2" s="93"/>
      <c r="F2" s="94"/>
      <c r="G2" s="100"/>
    </row>
    <row r="3" spans="1:7" ht="24" customHeight="1">
      <c r="A3" s="5">
        <v>43453</v>
      </c>
      <c r="B3" s="98"/>
      <c r="C3" s="98"/>
      <c r="D3" s="98"/>
      <c r="E3" s="93"/>
      <c r="F3" s="94"/>
      <c r="G3" s="101"/>
    </row>
    <row r="4" spans="1:7" ht="24" customHeight="1">
      <c r="A4" s="6" t="s">
        <v>2</v>
      </c>
      <c r="B4" s="99"/>
      <c r="C4" s="99"/>
      <c r="D4" s="99"/>
      <c r="E4" s="95"/>
      <c r="F4" s="96"/>
      <c r="G4" s="102"/>
    </row>
    <row r="5" spans="1:7" ht="36" customHeight="1">
      <c r="A5" s="55" t="s">
        <v>65</v>
      </c>
      <c r="B5" s="56" t="s">
        <v>3</v>
      </c>
      <c r="C5" s="56" t="s">
        <v>4</v>
      </c>
      <c r="D5" s="56" t="s">
        <v>5</v>
      </c>
      <c r="E5" s="56" t="s">
        <v>6</v>
      </c>
      <c r="F5" s="56" t="s">
        <v>7</v>
      </c>
      <c r="G5" s="56" t="s">
        <v>66</v>
      </c>
    </row>
    <row r="6" spans="1:7">
      <c r="A6" s="57"/>
      <c r="B6" s="58" t="s">
        <v>8</v>
      </c>
      <c r="C6" s="58" t="s">
        <v>8</v>
      </c>
      <c r="D6" s="58" t="s">
        <v>8</v>
      </c>
      <c r="E6" s="58" t="s">
        <v>8</v>
      </c>
      <c r="F6" s="59"/>
      <c r="G6" s="60" t="s">
        <v>4</v>
      </c>
    </row>
    <row r="7" spans="1:7">
      <c r="A7" s="61" t="s">
        <v>12</v>
      </c>
      <c r="B7" s="62">
        <v>-997363.97000002896</v>
      </c>
      <c r="C7" s="62">
        <v>-13272154.73</v>
      </c>
      <c r="D7" s="63">
        <v>-28595755.129999999</v>
      </c>
      <c r="E7" s="64">
        <v>-7595976.9599999301</v>
      </c>
      <c r="F7" s="11">
        <v>707449369.47000003</v>
      </c>
      <c r="G7" s="11">
        <v>0</v>
      </c>
    </row>
    <row r="8" spans="1:7">
      <c r="A8" s="12" t="s">
        <v>13</v>
      </c>
      <c r="B8" s="65">
        <v>-241751.44999998799</v>
      </c>
      <c r="C8" s="65">
        <v>-13579347.960000001</v>
      </c>
      <c r="D8" s="66">
        <v>-30538683.09</v>
      </c>
      <c r="E8" s="66">
        <v>-19449053.949999999</v>
      </c>
      <c r="F8" s="65">
        <v>389459538.73000002</v>
      </c>
      <c r="G8" s="17">
        <v>2003987.9</v>
      </c>
    </row>
    <row r="9" spans="1:7">
      <c r="A9" s="18" t="s">
        <v>14</v>
      </c>
      <c r="B9" s="67">
        <v>-235585.33999997401</v>
      </c>
      <c r="C9" s="67">
        <v>-13245472.779999999</v>
      </c>
      <c r="D9" s="68">
        <v>-30081077.510000002</v>
      </c>
      <c r="E9" s="68">
        <v>-21581430.609999999</v>
      </c>
      <c r="F9" s="67">
        <v>284810501.73000002</v>
      </c>
      <c r="G9" s="23">
        <v>1730519.56</v>
      </c>
    </row>
    <row r="10" spans="1:7">
      <c r="A10" s="24" t="s">
        <v>15</v>
      </c>
      <c r="B10" s="69">
        <v>0</v>
      </c>
      <c r="C10" s="69">
        <v>-998124.53999999899</v>
      </c>
      <c r="D10" s="70">
        <v>-2359473.38</v>
      </c>
      <c r="E10" s="70">
        <v>-516879.96999999898</v>
      </c>
      <c r="F10" s="69">
        <v>31062825.52</v>
      </c>
      <c r="G10" s="29">
        <v>0</v>
      </c>
    </row>
    <row r="11" spans="1:7">
      <c r="A11" s="18" t="s">
        <v>16</v>
      </c>
      <c r="B11" s="67">
        <v>0</v>
      </c>
      <c r="C11" s="67">
        <v>-998124.53999999899</v>
      </c>
      <c r="D11" s="68">
        <v>-2359473.38</v>
      </c>
      <c r="E11" s="68">
        <v>-516879.96999999898</v>
      </c>
      <c r="F11" s="67">
        <v>31062825.52</v>
      </c>
      <c r="G11" s="23">
        <v>0</v>
      </c>
    </row>
    <row r="12" spans="1:7">
      <c r="A12" s="24" t="s">
        <v>17</v>
      </c>
      <c r="B12" s="69">
        <v>-235585.34000000299</v>
      </c>
      <c r="C12" s="69">
        <v>-12247348.24</v>
      </c>
      <c r="D12" s="70">
        <v>-27721604.129999898</v>
      </c>
      <c r="E12" s="70">
        <v>-21064550.640000001</v>
      </c>
      <c r="F12" s="69">
        <v>253747676.21000001</v>
      </c>
      <c r="G12" s="29">
        <v>1730519.55999999</v>
      </c>
    </row>
    <row r="13" spans="1:7">
      <c r="A13" s="18" t="s">
        <v>18</v>
      </c>
      <c r="B13" s="67">
        <v>-296532.27</v>
      </c>
      <c r="C13" s="67">
        <v>-1928648.01</v>
      </c>
      <c r="D13" s="68">
        <v>-3489919.58</v>
      </c>
      <c r="E13" s="68">
        <v>-2921572.92</v>
      </c>
      <c r="F13" s="67">
        <v>29916490.469999999</v>
      </c>
      <c r="G13" s="23">
        <v>0</v>
      </c>
    </row>
    <row r="14" spans="1:7">
      <c r="A14" s="24" t="s">
        <v>19</v>
      </c>
      <c r="B14" s="69">
        <v>0</v>
      </c>
      <c r="C14" s="69">
        <v>-1091333.74</v>
      </c>
      <c r="D14" s="70">
        <v>-480128.54999999702</v>
      </c>
      <c r="E14" s="70">
        <v>4393482.55</v>
      </c>
      <c r="F14" s="69">
        <v>39946366.280000001</v>
      </c>
      <c r="G14" s="29">
        <v>0</v>
      </c>
    </row>
    <row r="15" spans="1:7">
      <c r="A15" s="18" t="s">
        <v>20</v>
      </c>
      <c r="B15" s="67">
        <v>134052.07999999801</v>
      </c>
      <c r="C15" s="67">
        <v>-752155.13000000303</v>
      </c>
      <c r="D15" s="68">
        <v>-2751258.65</v>
      </c>
      <c r="E15" s="68">
        <v>-4029848.08</v>
      </c>
      <c r="F15" s="67">
        <v>23984238.399999999</v>
      </c>
      <c r="G15" s="23">
        <v>0</v>
      </c>
    </row>
    <row r="16" spans="1:7">
      <c r="A16" s="24" t="s">
        <v>21</v>
      </c>
      <c r="B16" s="69">
        <v>0</v>
      </c>
      <c r="C16" s="69">
        <v>-56514.5600000005</v>
      </c>
      <c r="D16" s="70">
        <v>-92370.460000000894</v>
      </c>
      <c r="E16" s="70">
        <v>-3903811.43</v>
      </c>
      <c r="F16" s="69">
        <v>12489271.6</v>
      </c>
      <c r="G16" s="29">
        <v>0</v>
      </c>
    </row>
    <row r="17" spans="1:7">
      <c r="A17" s="18" t="s">
        <v>22</v>
      </c>
      <c r="B17" s="67">
        <v>0</v>
      </c>
      <c r="C17" s="67">
        <v>-812651.10999999905</v>
      </c>
      <c r="D17" s="68">
        <v>-922951.93</v>
      </c>
      <c r="E17" s="68">
        <v>-1434412.64</v>
      </c>
      <c r="F17" s="67">
        <v>19971828.440000001</v>
      </c>
      <c r="G17" s="23">
        <v>0</v>
      </c>
    </row>
    <row r="18" spans="1:7">
      <c r="A18" s="24" t="s">
        <v>23</v>
      </c>
      <c r="B18" s="69">
        <v>46152.079999998197</v>
      </c>
      <c r="C18" s="69">
        <v>-873143.17000000202</v>
      </c>
      <c r="D18" s="70">
        <v>-5351660.7699999996</v>
      </c>
      <c r="E18" s="70">
        <v>-4774822.72</v>
      </c>
      <c r="F18" s="69">
        <v>35727268.829999998</v>
      </c>
      <c r="G18" s="29">
        <v>0</v>
      </c>
    </row>
    <row r="19" spans="1:7">
      <c r="A19" s="18" t="s">
        <v>24</v>
      </c>
      <c r="B19" s="67">
        <v>0</v>
      </c>
      <c r="C19" s="67">
        <v>-1313289.6299999999</v>
      </c>
      <c r="D19" s="68">
        <v>-1286897.28</v>
      </c>
      <c r="E19" s="68">
        <v>360640.080000002</v>
      </c>
      <c r="F19" s="67">
        <v>17709380.550000001</v>
      </c>
      <c r="G19" s="23">
        <v>0</v>
      </c>
    </row>
    <row r="20" spans="1:7">
      <c r="A20" s="24" t="s">
        <v>25</v>
      </c>
      <c r="B20" s="69">
        <v>-362720.580000002</v>
      </c>
      <c r="C20" s="69">
        <v>-2599977.16</v>
      </c>
      <c r="D20" s="70">
        <v>-4056720.11</v>
      </c>
      <c r="E20" s="70">
        <v>-2826555.45</v>
      </c>
      <c r="F20" s="69">
        <v>33456427.010000002</v>
      </c>
      <c r="G20" s="29">
        <v>0</v>
      </c>
    </row>
    <row r="21" spans="1:7">
      <c r="A21" s="18" t="s">
        <v>26</v>
      </c>
      <c r="B21" s="67">
        <v>0</v>
      </c>
      <c r="C21" s="67">
        <v>-608501.74</v>
      </c>
      <c r="D21" s="68">
        <v>-2000383.91</v>
      </c>
      <c r="E21" s="68">
        <v>-1375015.07</v>
      </c>
      <c r="F21" s="67">
        <v>14355073.23</v>
      </c>
      <c r="G21" s="23">
        <v>0</v>
      </c>
    </row>
    <row r="22" spans="1:7">
      <c r="A22" s="24" t="s">
        <v>27</v>
      </c>
      <c r="B22" s="69">
        <v>0</v>
      </c>
      <c r="C22" s="69">
        <v>-790977.200000001</v>
      </c>
      <c r="D22" s="70">
        <v>-1735020.16</v>
      </c>
      <c r="E22" s="70">
        <v>-1814411.47</v>
      </c>
      <c r="F22" s="69">
        <v>13090008.77</v>
      </c>
      <c r="G22" s="29">
        <v>0</v>
      </c>
    </row>
    <row r="23" spans="1:7">
      <c r="A23" s="18" t="s">
        <v>28</v>
      </c>
      <c r="B23" s="67">
        <v>50004.269999999597</v>
      </c>
      <c r="C23" s="67">
        <v>-153859.31</v>
      </c>
      <c r="D23" s="68">
        <v>429523.890000001</v>
      </c>
      <c r="E23" s="68">
        <v>-76929.660000000105</v>
      </c>
      <c r="F23" s="67">
        <v>14923070.34</v>
      </c>
      <c r="G23" s="23">
        <v>0</v>
      </c>
    </row>
    <row r="24" spans="1:7">
      <c r="A24" s="24" t="s">
        <v>29</v>
      </c>
      <c r="B24" s="69">
        <v>193459.08</v>
      </c>
      <c r="C24" s="69">
        <v>-1266297.48</v>
      </c>
      <c r="D24" s="70">
        <v>-5983816.6200000001</v>
      </c>
      <c r="E24" s="70">
        <v>-2661293.83</v>
      </c>
      <c r="F24" s="69">
        <v>-1821747.71</v>
      </c>
      <c r="G24" s="29">
        <v>1730519.56</v>
      </c>
    </row>
    <row r="25" spans="1:7">
      <c r="A25" s="18" t="s">
        <v>30</v>
      </c>
      <c r="B25" s="67">
        <v>0</v>
      </c>
      <c r="C25" s="67">
        <v>-18500.349999997801</v>
      </c>
      <c r="D25" s="68">
        <v>-317768.279999997</v>
      </c>
      <c r="E25" s="68">
        <v>-206018.140000001</v>
      </c>
      <c r="F25" s="67">
        <v>32723281.780000001</v>
      </c>
      <c r="G25" s="23">
        <v>0</v>
      </c>
    </row>
    <row r="26" spans="1:7">
      <c r="A26" s="24" t="s">
        <v>31</v>
      </c>
      <c r="B26" s="69">
        <v>0</v>
      </c>
      <c r="C26" s="69">
        <v>0</v>
      </c>
      <c r="D26" s="70">
        <v>-308316.85000000102</v>
      </c>
      <c r="E26" s="70">
        <v>-311837.71999999898</v>
      </c>
      <c r="F26" s="69">
        <v>17371355.07</v>
      </c>
      <c r="G26" s="29">
        <v>0</v>
      </c>
    </row>
    <row r="27" spans="1:7">
      <c r="A27" s="18" t="s">
        <v>32</v>
      </c>
      <c r="B27" s="67">
        <v>0</v>
      </c>
      <c r="C27" s="67">
        <v>-18500.349999999598</v>
      </c>
      <c r="D27" s="68">
        <v>-9451.4299999997002</v>
      </c>
      <c r="E27" s="68">
        <v>105819.58</v>
      </c>
      <c r="F27" s="67">
        <v>15351926.710000001</v>
      </c>
      <c r="G27" s="23">
        <v>0</v>
      </c>
    </row>
    <row r="28" spans="1:7">
      <c r="A28" s="24" t="s">
        <v>33</v>
      </c>
      <c r="B28" s="69">
        <v>-6166.1099999994003</v>
      </c>
      <c r="C28" s="69">
        <v>-315374.82999999798</v>
      </c>
      <c r="D28" s="70">
        <v>-139837.300000004</v>
      </c>
      <c r="E28" s="70">
        <v>2338394.7999999998</v>
      </c>
      <c r="F28" s="69">
        <v>71925755.219999999</v>
      </c>
      <c r="G28" s="29">
        <v>273468.34000000398</v>
      </c>
    </row>
    <row r="29" spans="1:7">
      <c r="A29" s="18" t="s">
        <v>34</v>
      </c>
      <c r="B29" s="67">
        <v>0</v>
      </c>
      <c r="C29" s="67">
        <v>-112891.019999996</v>
      </c>
      <c r="D29" s="68">
        <v>81554.719999998793</v>
      </c>
      <c r="E29" s="68">
        <v>1461911.95</v>
      </c>
      <c r="F29" s="67">
        <v>38067473.960000001</v>
      </c>
      <c r="G29" s="23">
        <v>0</v>
      </c>
    </row>
    <row r="30" spans="1:7">
      <c r="A30" s="24" t="s">
        <v>35</v>
      </c>
      <c r="B30" s="69">
        <v>-6246.8200000002998</v>
      </c>
      <c r="C30" s="69">
        <v>-80751.480000000403</v>
      </c>
      <c r="D30" s="70">
        <v>-65285.570000000298</v>
      </c>
      <c r="E30" s="70">
        <v>703290.700000001</v>
      </c>
      <c r="F30" s="69">
        <v>32575133.25</v>
      </c>
      <c r="G30" s="29">
        <v>200000</v>
      </c>
    </row>
    <row r="31" spans="1:7">
      <c r="A31" s="18" t="s">
        <v>36</v>
      </c>
      <c r="B31" s="67">
        <v>80.009999999776497</v>
      </c>
      <c r="C31" s="67">
        <v>442.32999999984202</v>
      </c>
      <c r="D31" s="68">
        <v>2186.43999999994</v>
      </c>
      <c r="E31" s="68">
        <v>15318.1799999999</v>
      </c>
      <c r="F31" s="67">
        <v>1277381.3799999999</v>
      </c>
      <c r="G31" s="23">
        <v>0</v>
      </c>
    </row>
    <row r="32" spans="1:7">
      <c r="A32" s="24" t="s">
        <v>37</v>
      </c>
      <c r="B32" s="69">
        <v>0.69999999999981799</v>
      </c>
      <c r="C32" s="69">
        <v>-122174.66</v>
      </c>
      <c r="D32" s="70">
        <v>-158292.890000001</v>
      </c>
      <c r="E32" s="70">
        <v>157873.97000000099</v>
      </c>
      <c r="F32" s="69">
        <v>5766.63</v>
      </c>
      <c r="G32" s="29">
        <v>73468.340000000302</v>
      </c>
    </row>
    <row r="33" spans="1:7">
      <c r="A33" s="32" t="s">
        <v>38</v>
      </c>
      <c r="B33" s="71">
        <v>2471.5700000002998</v>
      </c>
      <c r="C33" s="71">
        <v>46178.289999999099</v>
      </c>
      <c r="D33" s="72">
        <v>198838.67000000199</v>
      </c>
      <c r="E33" s="72">
        <v>900216.73000000406</v>
      </c>
      <c r="F33" s="71">
        <v>18997581.140000001</v>
      </c>
      <c r="G33" s="39">
        <v>0</v>
      </c>
    </row>
    <row r="34" spans="1:7">
      <c r="A34" s="12" t="s">
        <v>39</v>
      </c>
      <c r="B34" s="65">
        <v>-758084.08999998902</v>
      </c>
      <c r="C34" s="65">
        <v>-1588556.55999999</v>
      </c>
      <c r="D34" s="66">
        <v>1212552.8600000101</v>
      </c>
      <c r="E34" s="66">
        <v>6243039.1699999897</v>
      </c>
      <c r="F34" s="65">
        <v>133702860.36</v>
      </c>
      <c r="G34" s="17">
        <v>-2003987.9000000099</v>
      </c>
    </row>
    <row r="35" spans="1:7">
      <c r="A35" s="18" t="s">
        <v>40</v>
      </c>
      <c r="B35" s="67">
        <v>-2605.29000000004</v>
      </c>
      <c r="C35" s="67">
        <v>11834.87</v>
      </c>
      <c r="D35" s="68">
        <v>18364.749999998799</v>
      </c>
      <c r="E35" s="68">
        <v>-71788.380000001198</v>
      </c>
      <c r="F35" s="67">
        <v>446900.47999999998</v>
      </c>
      <c r="G35" s="23">
        <v>0</v>
      </c>
    </row>
    <row r="36" spans="1:7">
      <c r="A36" s="24" t="s">
        <v>41</v>
      </c>
      <c r="B36" s="69">
        <v>-12725.27</v>
      </c>
      <c r="C36" s="69">
        <v>4242.7999999998101</v>
      </c>
      <c r="D36" s="70">
        <v>45782.449999999699</v>
      </c>
      <c r="E36" s="70">
        <v>-260612.8</v>
      </c>
      <c r="F36" s="69">
        <v>2182834.63</v>
      </c>
      <c r="G36" s="29">
        <v>0</v>
      </c>
    </row>
    <row r="37" spans="1:7">
      <c r="A37" s="18" t="s">
        <v>42</v>
      </c>
      <c r="B37" s="67">
        <v>-10276.640000000099</v>
      </c>
      <c r="C37" s="67">
        <v>-101126.32</v>
      </c>
      <c r="D37" s="68">
        <v>-65586.320000000094</v>
      </c>
      <c r="E37" s="68">
        <v>-192908.52</v>
      </c>
      <c r="F37" s="67">
        <v>1762806.94</v>
      </c>
      <c r="G37" s="23">
        <v>0</v>
      </c>
    </row>
    <row r="38" spans="1:7">
      <c r="A38" s="24" t="s">
        <v>43</v>
      </c>
      <c r="B38" s="69">
        <v>-42254.75</v>
      </c>
      <c r="C38" s="69">
        <v>-153125.640000001</v>
      </c>
      <c r="D38" s="70">
        <v>-23590.6799999988</v>
      </c>
      <c r="E38" s="70">
        <v>373244.05</v>
      </c>
      <c r="F38" s="69">
        <v>7248185.8899999997</v>
      </c>
      <c r="G38" s="29">
        <v>0</v>
      </c>
    </row>
    <row r="39" spans="1:7">
      <c r="A39" s="18" t="s">
        <v>44</v>
      </c>
      <c r="B39" s="67">
        <v>-56981.089999999902</v>
      </c>
      <c r="C39" s="67">
        <v>-259259.609999999</v>
      </c>
      <c r="D39" s="68">
        <v>-67948.109999999404</v>
      </c>
      <c r="E39" s="68">
        <v>-155899.67000000001</v>
      </c>
      <c r="F39" s="67">
        <v>9774277.0800000001</v>
      </c>
      <c r="G39" s="23">
        <v>0</v>
      </c>
    </row>
    <row r="40" spans="1:7">
      <c r="A40" s="24" t="s">
        <v>45</v>
      </c>
      <c r="B40" s="69">
        <v>-40468.169999999896</v>
      </c>
      <c r="C40" s="69">
        <v>-106271.61</v>
      </c>
      <c r="D40" s="70">
        <v>22338.659999999199</v>
      </c>
      <c r="E40" s="70">
        <v>490493.89</v>
      </c>
      <c r="F40" s="69">
        <v>6941726.5899999999</v>
      </c>
      <c r="G40" s="29">
        <v>0</v>
      </c>
    </row>
    <row r="41" spans="1:7">
      <c r="A41" s="18" t="s">
        <v>46</v>
      </c>
      <c r="B41" s="67">
        <v>-128788.140000001</v>
      </c>
      <c r="C41" s="67">
        <v>-46748.140000000603</v>
      </c>
      <c r="D41" s="68">
        <v>375370.56000000198</v>
      </c>
      <c r="E41" s="68">
        <v>2491887.61</v>
      </c>
      <c r="F41" s="67">
        <v>22091718.530000001</v>
      </c>
      <c r="G41" s="23">
        <v>0</v>
      </c>
    </row>
    <row r="42" spans="1:7">
      <c r="A42" s="24" t="s">
        <v>47</v>
      </c>
      <c r="B42" s="69">
        <v>-22506.549999999799</v>
      </c>
      <c r="C42" s="69">
        <v>-1205918.46</v>
      </c>
      <c r="D42" s="70">
        <v>-1109312.76</v>
      </c>
      <c r="E42" s="70">
        <v>-3588893.35</v>
      </c>
      <c r="F42" s="69">
        <v>3860671.5</v>
      </c>
      <c r="G42" s="29">
        <v>0</v>
      </c>
    </row>
    <row r="43" spans="1:7">
      <c r="A43" s="18" t="s">
        <v>48</v>
      </c>
      <c r="B43" s="67">
        <v>-33117.469999999703</v>
      </c>
      <c r="C43" s="67">
        <v>-208125.15</v>
      </c>
      <c r="D43" s="68">
        <v>-95839.520000000499</v>
      </c>
      <c r="E43" s="68">
        <v>-1090928.6399999999</v>
      </c>
      <c r="F43" s="67">
        <v>5680817.3799999999</v>
      </c>
      <c r="G43" s="23">
        <v>0</v>
      </c>
    </row>
    <row r="44" spans="1:7">
      <c r="A44" s="24" t="s">
        <v>49</v>
      </c>
      <c r="B44" s="69">
        <v>-47398.330000000104</v>
      </c>
      <c r="C44" s="69">
        <v>151660.25</v>
      </c>
      <c r="D44" s="70">
        <v>303794.39999999898</v>
      </c>
      <c r="E44" s="70">
        <v>616291.11999999895</v>
      </c>
      <c r="F44" s="69">
        <v>8130497.5199999996</v>
      </c>
      <c r="G44" s="29">
        <v>0</v>
      </c>
    </row>
    <row r="45" spans="1:7">
      <c r="A45" s="18" t="s">
        <v>50</v>
      </c>
      <c r="B45" s="67">
        <v>0</v>
      </c>
      <c r="C45" s="67">
        <v>0</v>
      </c>
      <c r="D45" s="68">
        <v>0</v>
      </c>
      <c r="E45" s="68">
        <v>1594050</v>
      </c>
      <c r="F45" s="67">
        <v>1383790</v>
      </c>
      <c r="G45" s="23">
        <v>0</v>
      </c>
    </row>
    <row r="46" spans="1:7">
      <c r="A46" s="24" t="s">
        <v>51</v>
      </c>
      <c r="B46" s="69">
        <v>-152085.94999999899</v>
      </c>
      <c r="C46" s="69">
        <v>917840.89000000095</v>
      </c>
      <c r="D46" s="70">
        <v>1372136.36</v>
      </c>
      <c r="E46" s="70">
        <v>4400471.18</v>
      </c>
      <c r="F46" s="69">
        <v>26088120</v>
      </c>
      <c r="G46" s="29">
        <v>0</v>
      </c>
    </row>
    <row r="47" spans="1:7">
      <c r="A47" s="18" t="s">
        <v>52</v>
      </c>
      <c r="B47" s="67">
        <v>-91727.880000000805</v>
      </c>
      <c r="C47" s="67">
        <v>-144212.87000000101</v>
      </c>
      <c r="D47" s="68">
        <v>265027.18999999901</v>
      </c>
      <c r="E47" s="68">
        <v>891899.91</v>
      </c>
      <c r="F47" s="67">
        <v>15734582.34</v>
      </c>
      <c r="G47" s="23">
        <v>0</v>
      </c>
    </row>
    <row r="48" spans="1:7">
      <c r="A48" s="24" t="s">
        <v>53</v>
      </c>
      <c r="B48" s="69">
        <v>-76544.669999999896</v>
      </c>
      <c r="C48" s="69">
        <v>-160273.46999999901</v>
      </c>
      <c r="D48" s="70">
        <v>241931.91</v>
      </c>
      <c r="E48" s="70">
        <v>836732.22000000102</v>
      </c>
      <c r="F48" s="69">
        <v>13130134.380000001</v>
      </c>
      <c r="G48" s="29">
        <v>0</v>
      </c>
    </row>
    <row r="49" spans="1:7">
      <c r="A49" s="18" t="s">
        <v>54</v>
      </c>
      <c r="B49" s="67">
        <v>-28428.360000000299</v>
      </c>
      <c r="C49" s="67">
        <v>-44071.940000000403</v>
      </c>
      <c r="D49" s="68">
        <v>49749.21</v>
      </c>
      <c r="E49" s="68">
        <v>40437.519999999597</v>
      </c>
      <c r="F49" s="67">
        <v>4876478.22</v>
      </c>
      <c r="G49" s="23">
        <v>0</v>
      </c>
    </row>
    <row r="50" spans="1:7">
      <c r="A50" s="24" t="s">
        <v>55</v>
      </c>
      <c r="B50" s="69">
        <v>-13526.6700000004</v>
      </c>
      <c r="C50" s="69">
        <v>-256715.57</v>
      </c>
      <c r="D50" s="70">
        <v>-207579.05</v>
      </c>
      <c r="E50" s="70">
        <v>-179697.47</v>
      </c>
      <c r="F50" s="69">
        <v>2320302.5299999998</v>
      </c>
      <c r="G50" s="29">
        <v>0</v>
      </c>
    </row>
    <row r="51" spans="1:7">
      <c r="A51" s="18" t="s">
        <v>56</v>
      </c>
      <c r="B51" s="67">
        <v>1351.1000000000899</v>
      </c>
      <c r="C51" s="67">
        <v>35336.370000000097</v>
      </c>
      <c r="D51" s="68">
        <v>95304.27</v>
      </c>
      <c r="E51" s="68">
        <v>95304.27</v>
      </c>
      <c r="F51" s="67">
        <v>2060110.37</v>
      </c>
      <c r="G51" s="23">
        <v>0</v>
      </c>
    </row>
    <row r="52" spans="1:7">
      <c r="A52" s="24" t="s">
        <v>57</v>
      </c>
      <c r="B52" s="69">
        <v>3.9999999999054098E-2</v>
      </c>
      <c r="C52" s="69">
        <v>-23622.960000000199</v>
      </c>
      <c r="D52" s="70">
        <v>-7390.45999999996</v>
      </c>
      <c r="E52" s="70">
        <v>-47043.769999999902</v>
      </c>
      <c r="F52" s="69">
        <v>-11094.02</v>
      </c>
      <c r="G52" s="29">
        <v>-2003987.9</v>
      </c>
    </row>
    <row r="53" spans="1:7">
      <c r="A53" s="32" t="s">
        <v>58</v>
      </c>
      <c r="B53" s="71">
        <v>0</v>
      </c>
      <c r="C53" s="71">
        <v>0</v>
      </c>
      <c r="D53" s="72">
        <v>790862.210000008</v>
      </c>
      <c r="E53" s="72">
        <v>5262129.4300000099</v>
      </c>
      <c r="F53" s="71">
        <v>131450589.17</v>
      </c>
      <c r="G53" s="39">
        <v>0</v>
      </c>
    </row>
    <row r="54" spans="1:7">
      <c r="A54" s="24" t="s">
        <v>59</v>
      </c>
      <c r="B54" s="69">
        <v>0</v>
      </c>
      <c r="C54" s="69">
        <v>0</v>
      </c>
      <c r="D54" s="70">
        <v>790862.210000008</v>
      </c>
      <c r="E54" s="70">
        <v>5262129.4300000099</v>
      </c>
      <c r="F54" s="69">
        <v>131450589.17</v>
      </c>
      <c r="G54" s="29">
        <v>0</v>
      </c>
    </row>
    <row r="55" spans="1:7">
      <c r="A55" s="32" t="s">
        <v>60</v>
      </c>
      <c r="B55" s="71">
        <v>0</v>
      </c>
      <c r="C55" s="71">
        <v>1849571.5</v>
      </c>
      <c r="D55" s="72">
        <v>-259325.78000000099</v>
      </c>
      <c r="E55" s="72">
        <v>-552308.34</v>
      </c>
      <c r="F55" s="71">
        <v>33838800.07</v>
      </c>
      <c r="G55" s="39">
        <v>0</v>
      </c>
    </row>
    <row r="56" spans="1:7">
      <c r="A56" s="24" t="s">
        <v>61</v>
      </c>
      <c r="B56" s="69">
        <v>0</v>
      </c>
      <c r="C56" s="69">
        <v>1849571.5</v>
      </c>
      <c r="D56" s="70">
        <v>-259325.78000000099</v>
      </c>
      <c r="E56" s="70">
        <v>-552308.34</v>
      </c>
      <c r="F56" s="69">
        <v>33838800.07</v>
      </c>
      <c r="G56" s="29">
        <v>0</v>
      </c>
    </row>
    <row r="57" spans="1:7">
      <c r="A57" s="73"/>
      <c r="B57" s="73"/>
      <c r="C57" s="73"/>
      <c r="D57" s="73"/>
      <c r="E57" s="73"/>
      <c r="F57" s="73"/>
      <c r="G57" s="73"/>
    </row>
  </sheetData>
  <mergeCells count="5">
    <mergeCell ref="E1:F4"/>
    <mergeCell ref="B2:B4"/>
    <mergeCell ref="C2:C4"/>
    <mergeCell ref="D2:D4"/>
    <mergeCell ref="G2:G4"/>
  </mergeCells>
  <pageMargins left="0.25" right="0.25" top="0.9" bottom="0.95" header="0.25" footer="0.2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"/>
  <sheetViews>
    <sheetView workbookViewId="0"/>
  </sheetViews>
  <sheetFormatPr baseColWidth="10" defaultColWidth="9.140625" defaultRowHeight="15"/>
  <sheetData>
    <row r="1" spans="1:7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</row>
    <row r="2" spans="1:7">
      <c r="A2" t="s">
        <v>74</v>
      </c>
      <c r="B2">
        <v>-1.8415094158222001</v>
      </c>
      <c r="C2" t="s">
        <v>75</v>
      </c>
      <c r="D2">
        <v>0</v>
      </c>
      <c r="E2" t="s">
        <v>76</v>
      </c>
      <c r="F2">
        <f>SUM('DS1'!$B$2)</f>
        <v>-1.8415094158222001</v>
      </c>
      <c r="G2">
        <v>0</v>
      </c>
    </row>
    <row r="3" spans="1:7">
      <c r="A3" t="s">
        <v>77</v>
      </c>
      <c r="B3">
        <v>-2.5742669469197201</v>
      </c>
      <c r="C3" t="s">
        <v>75</v>
      </c>
      <c r="D3">
        <v>1</v>
      </c>
      <c r="E3" t="s">
        <v>78</v>
      </c>
      <c r="F3">
        <f>SUM('DS1'!$B$3)</f>
        <v>-2.5742669469197201</v>
      </c>
      <c r="G3">
        <v>1</v>
      </c>
    </row>
    <row r="4" spans="1:7">
      <c r="A4" t="s">
        <v>79</v>
      </c>
      <c r="B4">
        <v>0.73275753109751995</v>
      </c>
      <c r="C4" t="s">
        <v>75</v>
      </c>
      <c r="D4">
        <v>2</v>
      </c>
      <c r="E4" t="s">
        <v>80</v>
      </c>
      <c r="F4">
        <f>SUM('DS1'!$B$4)</f>
        <v>0.73275753109751995</v>
      </c>
      <c r="G4">
        <v>2</v>
      </c>
    </row>
    <row r="6" spans="1:7">
      <c r="A6" t="s">
        <v>81</v>
      </c>
    </row>
  </sheetData>
  <pageMargins left="0" right="0" top="0.65" bottom="0.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8"/>
  <sheetViews>
    <sheetView workbookViewId="0"/>
  </sheetViews>
  <sheetFormatPr baseColWidth="10" defaultColWidth="9.140625" defaultRowHeight="15"/>
  <sheetData>
    <row r="1" spans="1:31">
      <c r="A1" t="s">
        <v>74</v>
      </c>
      <c r="B1" t="s">
        <v>77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</row>
    <row r="2" spans="1:31">
      <c r="A2">
        <v>-3.3727781738115499</v>
      </c>
      <c r="B2">
        <v>-3.2101363136579399</v>
      </c>
      <c r="C2">
        <v>-4.7483565415613196</v>
      </c>
      <c r="D2">
        <v>-1.8466795375040701</v>
      </c>
      <c r="E2">
        <v>389459538.73000002</v>
      </c>
      <c r="F2">
        <v>1</v>
      </c>
      <c r="G2" t="s">
        <v>111</v>
      </c>
      <c r="H2" t="s">
        <v>112</v>
      </c>
      <c r="I2" t="s">
        <v>113</v>
      </c>
      <c r="J2" t="s">
        <v>114</v>
      </c>
      <c r="K2">
        <v>2</v>
      </c>
      <c r="L2" s="74">
        <v>43453</v>
      </c>
      <c r="M2">
        <v>20181219</v>
      </c>
      <c r="N2" t="s">
        <v>2</v>
      </c>
      <c r="O2">
        <v>1</v>
      </c>
      <c r="P2" t="s">
        <v>112</v>
      </c>
      <c r="Q2" t="s">
        <v>115</v>
      </c>
      <c r="R2" t="s">
        <v>116</v>
      </c>
      <c r="S2" t="s">
        <v>116</v>
      </c>
      <c r="T2" t="s">
        <v>116</v>
      </c>
      <c r="U2" t="s">
        <v>116</v>
      </c>
      <c r="V2">
        <v>-6.2035065341536903E-2</v>
      </c>
      <c r="W2">
        <v>-0.10891795313819901</v>
      </c>
      <c r="X2">
        <v>-6.1263736157410502</v>
      </c>
      <c r="Y2">
        <v>-7.2535070261252699</v>
      </c>
      <c r="Z2">
        <v>51354097.259999998</v>
      </c>
      <c r="AA2">
        <v>2003987.9</v>
      </c>
      <c r="AB2">
        <v>707449369.47000003</v>
      </c>
      <c r="AC2">
        <v>1</v>
      </c>
      <c r="AD2">
        <v>55.1</v>
      </c>
      <c r="AE2">
        <v>1</v>
      </c>
    </row>
    <row r="3" spans="1:31">
      <c r="A3">
        <v>0.24366686923127401</v>
      </c>
      <c r="B3">
        <v>0</v>
      </c>
      <c r="C3">
        <v>4.7339656740270204</v>
      </c>
      <c r="D3">
        <v>4.4793841366503004</v>
      </c>
      <c r="E3">
        <v>18997581.140000001</v>
      </c>
      <c r="F3">
        <v>1</v>
      </c>
      <c r="G3" t="s">
        <v>111</v>
      </c>
      <c r="H3" t="s">
        <v>112</v>
      </c>
      <c r="I3" t="s">
        <v>113</v>
      </c>
      <c r="J3" t="s">
        <v>117</v>
      </c>
      <c r="K3">
        <v>15</v>
      </c>
      <c r="L3" s="74">
        <v>43453</v>
      </c>
      <c r="M3">
        <v>20181219</v>
      </c>
      <c r="N3" t="s">
        <v>2</v>
      </c>
      <c r="O3">
        <v>1</v>
      </c>
      <c r="P3" t="s">
        <v>112</v>
      </c>
      <c r="Q3" t="s">
        <v>115</v>
      </c>
      <c r="R3" t="s">
        <v>116</v>
      </c>
      <c r="S3" t="s">
        <v>116</v>
      </c>
      <c r="T3" t="s">
        <v>116</v>
      </c>
      <c r="U3" t="s">
        <v>116</v>
      </c>
      <c r="V3">
        <v>1.30116122304624E-2</v>
      </c>
      <c r="W3">
        <v>0</v>
      </c>
      <c r="X3">
        <v>0.812077489628105</v>
      </c>
      <c r="Y3">
        <v>1.0577232509957599</v>
      </c>
      <c r="Z3">
        <v>7000000</v>
      </c>
      <c r="AA3">
        <v>0</v>
      </c>
      <c r="AB3">
        <v>707449369.47000003</v>
      </c>
      <c r="AC3">
        <v>49</v>
      </c>
      <c r="AD3">
        <v>2.7</v>
      </c>
      <c r="AE3">
        <v>49</v>
      </c>
    </row>
    <row r="4" spans="1:31">
      <c r="A4">
        <v>-1.17779519274709</v>
      </c>
      <c r="B4">
        <v>-5.9061369842502902</v>
      </c>
      <c r="C4">
        <v>4.8757377513209503</v>
      </c>
      <c r="D4">
        <v>-3.5543752939197399</v>
      </c>
      <c r="E4">
        <v>133702860.36</v>
      </c>
      <c r="F4">
        <v>1</v>
      </c>
      <c r="G4" t="s">
        <v>111</v>
      </c>
      <c r="H4" t="s">
        <v>112</v>
      </c>
      <c r="I4" t="s">
        <v>113</v>
      </c>
      <c r="J4" t="s">
        <v>118</v>
      </c>
      <c r="K4">
        <v>3</v>
      </c>
      <c r="L4" s="74">
        <v>43453</v>
      </c>
      <c r="M4">
        <v>20181219</v>
      </c>
      <c r="N4" t="s">
        <v>2</v>
      </c>
      <c r="O4">
        <v>1</v>
      </c>
      <c r="P4" t="s">
        <v>112</v>
      </c>
      <c r="Q4" t="s">
        <v>115</v>
      </c>
      <c r="R4" t="s">
        <v>116</v>
      </c>
      <c r="S4" t="s">
        <v>116</v>
      </c>
      <c r="T4" t="s">
        <v>116</v>
      </c>
      <c r="U4" t="s">
        <v>116</v>
      </c>
      <c r="V4">
        <v>-0.56379500612676603</v>
      </c>
      <c r="W4">
        <v>-1.09648178601027</v>
      </c>
      <c r="X4">
        <v>-6.6939508909888401</v>
      </c>
      <c r="Y4">
        <v>0.82532786227076405</v>
      </c>
      <c r="Z4">
        <v>14114079.49</v>
      </c>
      <c r="AA4">
        <v>-2003987.9000000099</v>
      </c>
      <c r="AB4">
        <v>707449369.47000003</v>
      </c>
      <c r="AC4">
        <v>50</v>
      </c>
      <c r="AD4">
        <v>18.899999999999999</v>
      </c>
      <c r="AE4">
        <v>50</v>
      </c>
    </row>
    <row r="5" spans="1:31">
      <c r="A5">
        <v>0</v>
      </c>
      <c r="B5">
        <v>0</v>
      </c>
      <c r="C5">
        <v>4.7976740375186502</v>
      </c>
      <c r="D5">
        <v>5.2045383592712202</v>
      </c>
      <c r="E5">
        <v>131450589.17</v>
      </c>
      <c r="F5">
        <v>1</v>
      </c>
      <c r="G5" t="s">
        <v>111</v>
      </c>
      <c r="H5" t="s">
        <v>112</v>
      </c>
      <c r="I5" t="s">
        <v>113</v>
      </c>
      <c r="J5" t="s">
        <v>119</v>
      </c>
      <c r="K5">
        <v>83</v>
      </c>
      <c r="L5" s="74">
        <v>43453</v>
      </c>
      <c r="M5">
        <v>20181219</v>
      </c>
      <c r="N5" t="s">
        <v>2</v>
      </c>
      <c r="O5">
        <v>1</v>
      </c>
      <c r="P5" t="s">
        <v>112</v>
      </c>
      <c r="Q5" t="s">
        <v>115</v>
      </c>
      <c r="R5" t="s">
        <v>116</v>
      </c>
      <c r="S5" t="s">
        <v>116</v>
      </c>
      <c r="T5" t="s">
        <v>116</v>
      </c>
      <c r="U5" t="s">
        <v>116</v>
      </c>
      <c r="V5">
        <v>0</v>
      </c>
      <c r="W5">
        <v>0</v>
      </c>
      <c r="X5">
        <v>0.71049219676855302</v>
      </c>
      <c r="Y5">
        <v>0.595483945493269</v>
      </c>
      <c r="Z5">
        <v>5000000</v>
      </c>
      <c r="AA5">
        <v>0</v>
      </c>
      <c r="AB5">
        <v>707449369.47000003</v>
      </c>
      <c r="AC5">
        <v>80</v>
      </c>
      <c r="AD5">
        <v>18.600000000000001</v>
      </c>
      <c r="AE5">
        <v>80</v>
      </c>
    </row>
    <row r="6" spans="1:31">
      <c r="A6">
        <v>5.7818571521745197</v>
      </c>
      <c r="B6">
        <v>6.6951300000095401E-2</v>
      </c>
      <c r="C6">
        <v>-1.43667080894411</v>
      </c>
      <c r="D6">
        <v>0.56741722829165597</v>
      </c>
      <c r="E6">
        <v>33838800.07</v>
      </c>
      <c r="F6">
        <v>1</v>
      </c>
      <c r="G6" t="s">
        <v>111</v>
      </c>
      <c r="H6" t="s">
        <v>112</v>
      </c>
      <c r="I6" t="s">
        <v>113</v>
      </c>
      <c r="J6" t="s">
        <v>120</v>
      </c>
      <c r="K6">
        <v>95</v>
      </c>
      <c r="L6" s="74">
        <v>43453</v>
      </c>
      <c r="M6">
        <v>20181219</v>
      </c>
      <c r="N6" t="s">
        <v>2</v>
      </c>
      <c r="O6">
        <v>1</v>
      </c>
      <c r="P6" t="s">
        <v>112</v>
      </c>
      <c r="Q6" t="s">
        <v>115</v>
      </c>
      <c r="R6" t="s">
        <v>116</v>
      </c>
      <c r="S6" t="s">
        <v>116</v>
      </c>
      <c r="T6" t="s">
        <v>116</v>
      </c>
      <c r="U6" t="s">
        <v>116</v>
      </c>
      <c r="V6">
        <v>0</v>
      </c>
      <c r="W6">
        <v>-5.7925882099851801E-4</v>
      </c>
      <c r="X6">
        <v>0.202577224176759</v>
      </c>
      <c r="Y6">
        <v>-0.76052795728654998</v>
      </c>
      <c r="Z6">
        <v>20013390.260000002</v>
      </c>
      <c r="AA6">
        <v>0</v>
      </c>
      <c r="AB6">
        <v>707449369.47000003</v>
      </c>
      <c r="AC6">
        <v>100</v>
      </c>
      <c r="AD6">
        <v>4.8</v>
      </c>
      <c r="AE6">
        <v>100</v>
      </c>
    </row>
    <row r="8" spans="1:31">
      <c r="A8" t="s">
        <v>121</v>
      </c>
    </row>
  </sheetData>
  <pageMargins left="0" right="0" top="0.65" bottom="0.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Total _Prosent_</vt:lpstr>
      <vt:lpstr>Total _Kroner_</vt:lpstr>
      <vt:lpstr>DS1</vt:lpstr>
      <vt:lpstr>DS2</vt:lpstr>
      <vt:lpstr>__bookmark_1</vt:lpstr>
      <vt:lpstr>__bookmark_2</vt:lpstr>
      <vt:lpstr>__bookmark_4</vt:lpstr>
      <vt:lpstr>__bookmark_5</vt:lpstr>
      <vt:lpstr>__bookmark_6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Aage Mogren</dc:creator>
  <cp:lastModifiedBy>Geir Aage Mogren</cp:lastModifiedBy>
  <dcterms:created xsi:type="dcterms:W3CDTF">2018-12-20T10:27:42Z</dcterms:created>
  <dcterms:modified xsi:type="dcterms:W3CDTF">2018-12-21T08:56:22Z</dcterms:modified>
</cp:coreProperties>
</file>